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braggconsulting.sharepoint.com/sites/JBraggSharepoint/Shared Documents/Projects/001038-00/BC Penny Program/US 21 Corridor/_Documents/2021 RAISE Grant/Working Documents/6_Benefit Cost Analysis/"/>
    </mc:Choice>
  </mc:AlternateContent>
  <xr:revisionPtr revIDLastSave="288" documentId="8_{B3E7F893-6ABD-400C-AEEA-3B19335A72C0}" xr6:coauthVersionLast="47" xr6:coauthVersionMax="47" xr10:uidLastSave="{114EB30C-242B-4A22-96D6-5D89B4915374}"/>
  <bookViews>
    <workbookView xWindow="-120" yWindow="-120" windowWidth="29040" windowHeight="15840" activeTab="1" xr2:uid="{962224F6-47B2-451C-86AC-AD2AD4DD8CB4}"/>
  </bookViews>
  <sheets>
    <sheet name="Budget Summary" sheetId="1" r:id="rId1"/>
    <sheet name="AADT_VMT" sheetId="2" r:id="rId2"/>
    <sheet name="Bike_Ped Info" sheetId="4" r:id="rId3"/>
    <sheet name="Safety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G51" i="2" s="1"/>
  <c r="F52" i="2"/>
  <c r="G52" i="2" s="1"/>
  <c r="F53" i="2"/>
  <c r="G53" i="2" s="1"/>
  <c r="F55" i="2"/>
  <c r="G55" i="2" s="1"/>
  <c r="F56" i="2"/>
  <c r="G56" i="2" s="1"/>
  <c r="F57" i="2"/>
  <c r="G57" i="2" s="1"/>
  <c r="F59" i="2"/>
  <c r="G59" i="2" s="1"/>
  <c r="F60" i="2"/>
  <c r="G60" i="2" s="1"/>
  <c r="F61" i="2"/>
  <c r="G61" i="2" s="1"/>
  <c r="F63" i="2"/>
  <c r="G63" i="2" s="1"/>
  <c r="F64" i="2"/>
  <c r="G64" i="2" s="1"/>
  <c r="F65" i="2"/>
  <c r="G65" i="2" s="1"/>
  <c r="F67" i="2"/>
  <c r="G67" i="2" s="1"/>
  <c r="F68" i="2"/>
  <c r="G68" i="2" s="1"/>
  <c r="E51" i="2"/>
  <c r="E52" i="2"/>
  <c r="E53" i="2"/>
  <c r="E54" i="2"/>
  <c r="F54" i="2" s="1"/>
  <c r="G54" i="2" s="1"/>
  <c r="E55" i="2"/>
  <c r="E56" i="2"/>
  <c r="E57" i="2"/>
  <c r="E58" i="2"/>
  <c r="F58" i="2" s="1"/>
  <c r="G58" i="2" s="1"/>
  <c r="E59" i="2"/>
  <c r="E60" i="2"/>
  <c r="E61" i="2"/>
  <c r="E62" i="2"/>
  <c r="F62" i="2" s="1"/>
  <c r="G62" i="2" s="1"/>
  <c r="E63" i="2"/>
  <c r="E64" i="2"/>
  <c r="E65" i="2"/>
  <c r="E66" i="2"/>
  <c r="F66" i="2" s="1"/>
  <c r="G66" i="2" s="1"/>
  <c r="E67" i="2"/>
  <c r="E68" i="2"/>
  <c r="E69" i="2"/>
  <c r="F69" i="2" s="1"/>
  <c r="G69" i="2" s="1"/>
  <c r="E50" i="2"/>
  <c r="F50" i="2" s="1"/>
  <c r="G50" i="2" s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V29" i="2"/>
  <c r="V37" i="2"/>
  <c r="V36" i="2"/>
  <c r="V35" i="2"/>
  <c r="V34" i="2"/>
  <c r="V33" i="2"/>
  <c r="V32" i="2"/>
  <c r="V31" i="2"/>
  <c r="V30" i="2"/>
  <c r="V28" i="2"/>
  <c r="V27" i="2"/>
  <c r="V26" i="2"/>
  <c r="V25" i="2"/>
  <c r="V24" i="2"/>
  <c r="V23" i="2"/>
  <c r="V22" i="2"/>
  <c r="V21" i="2"/>
  <c r="V20" i="2"/>
  <c r="V19" i="2"/>
  <c r="V17" i="2"/>
  <c r="V18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G70" i="2" l="1"/>
  <c r="H17" i="4"/>
  <c r="F17" i="4"/>
  <c r="D17" i="4"/>
  <c r="D9" i="4"/>
  <c r="D10" i="4"/>
  <c r="D12" i="4"/>
  <c r="H8" i="4"/>
  <c r="D8" i="4"/>
  <c r="H7" i="4"/>
  <c r="D7" i="4"/>
  <c r="H6" i="4"/>
  <c r="D6" i="4"/>
  <c r="H5" i="4"/>
  <c r="D5" i="4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19" i="2"/>
  <c r="Q18" i="2"/>
  <c r="F7" i="2"/>
  <c r="D7" i="2"/>
  <c r="F6" i="2"/>
  <c r="C6" i="2"/>
  <c r="G6" i="2" s="1"/>
  <c r="F5" i="2"/>
  <c r="D5" i="2"/>
  <c r="B4" i="3"/>
  <c r="C4" i="3" s="1"/>
  <c r="C3" i="3"/>
  <c r="B3" i="3"/>
  <c r="B2" i="3"/>
  <c r="C2" i="3" s="1"/>
  <c r="C5" i="3" s="1"/>
  <c r="N17" i="2"/>
  <c r="L17" i="2"/>
  <c r="U19" i="2"/>
  <c r="U20" i="2" s="1"/>
  <c r="S18" i="2"/>
  <c r="S19" i="2" s="1"/>
  <c r="N18" i="2"/>
  <c r="F18" i="2"/>
  <c r="M19" i="2"/>
  <c r="M20" i="2" s="1"/>
  <c r="N20" i="2" s="1"/>
  <c r="K18" i="2"/>
  <c r="K19" i="2" s="1"/>
  <c r="L19" i="2" s="1"/>
  <c r="E19" i="2"/>
  <c r="E20" i="2" s="1"/>
  <c r="E21" i="2" s="1"/>
  <c r="F21" i="2" s="1"/>
  <c r="F17" i="2"/>
  <c r="D17" i="2"/>
  <c r="C18" i="2"/>
  <c r="G18" i="2" s="1"/>
  <c r="D13" i="1"/>
  <c r="F13" i="1" s="1"/>
  <c r="D10" i="1"/>
  <c r="E15" i="1"/>
  <c r="D11" i="1"/>
  <c r="D9" i="1"/>
  <c r="F9" i="1" s="1"/>
  <c r="D8" i="1"/>
  <c r="D7" i="1"/>
  <c r="D14" i="1"/>
  <c r="F7" i="1"/>
  <c r="F8" i="1"/>
  <c r="F10" i="1"/>
  <c r="F11" i="1"/>
  <c r="F12" i="1"/>
  <c r="F14" i="1"/>
  <c r="F6" i="1"/>
  <c r="B15" i="1"/>
  <c r="B16" i="1" s="1"/>
  <c r="C15" i="1"/>
  <c r="C16" i="1" s="1"/>
  <c r="H7" i="2" l="1"/>
  <c r="I7" i="2" s="1"/>
  <c r="D6" i="2"/>
  <c r="H6" i="2" s="1"/>
  <c r="I6" i="2" s="1"/>
  <c r="G7" i="2"/>
  <c r="F20" i="2"/>
  <c r="N19" i="2"/>
  <c r="P19" i="2" s="1"/>
  <c r="F19" i="2"/>
  <c r="D18" i="2"/>
  <c r="H18" i="2" s="1"/>
  <c r="I18" i="2" s="1"/>
  <c r="L18" i="2"/>
  <c r="P18" i="2" s="1"/>
  <c r="W18" i="2"/>
  <c r="S20" i="2"/>
  <c r="U21" i="2"/>
  <c r="X19" i="2"/>
  <c r="Y19" i="2" s="1"/>
  <c r="X18" i="2"/>
  <c r="Y18" i="2" s="1"/>
  <c r="W19" i="2"/>
  <c r="O18" i="2"/>
  <c r="K20" i="2"/>
  <c r="M21" i="2"/>
  <c r="N21" i="2" s="1"/>
  <c r="O19" i="2"/>
  <c r="E22" i="2"/>
  <c r="C19" i="2"/>
  <c r="D19" i="2" s="1"/>
  <c r="D15" i="1"/>
  <c r="F15" i="1"/>
  <c r="F16" i="1" s="1"/>
  <c r="W20" i="2" l="1"/>
  <c r="E23" i="2"/>
  <c r="F22" i="2"/>
  <c r="O20" i="2"/>
  <c r="L20" i="2"/>
  <c r="P20" i="2" s="1"/>
  <c r="S21" i="2"/>
  <c r="X20" i="2"/>
  <c r="Y20" i="2" s="1"/>
  <c r="U22" i="2"/>
  <c r="M22" i="2"/>
  <c r="N22" i="2" s="1"/>
  <c r="K21" i="2"/>
  <c r="L21" i="2" s="1"/>
  <c r="C20" i="2"/>
  <c r="D20" i="2" s="1"/>
  <c r="H19" i="2"/>
  <c r="I19" i="2" s="1"/>
  <c r="G19" i="2"/>
  <c r="E24" i="2" l="1"/>
  <c r="F23" i="2"/>
  <c r="X21" i="2"/>
  <c r="Y21" i="2" s="1"/>
  <c r="S22" i="2"/>
  <c r="W21" i="2"/>
  <c r="U23" i="2"/>
  <c r="P21" i="2"/>
  <c r="K22" i="2"/>
  <c r="L22" i="2" s="1"/>
  <c r="O21" i="2"/>
  <c r="M23" i="2"/>
  <c r="N23" i="2" s="1"/>
  <c r="C21" i="2"/>
  <c r="D21" i="2" s="1"/>
  <c r="H20" i="2"/>
  <c r="I20" i="2" s="1"/>
  <c r="G20" i="2"/>
  <c r="W22" i="2" l="1"/>
  <c r="X22" i="2"/>
  <c r="Y22" i="2" s="1"/>
  <c r="E25" i="2"/>
  <c r="F24" i="2"/>
  <c r="U24" i="2"/>
  <c r="S23" i="2"/>
  <c r="M24" i="2"/>
  <c r="N24" i="2" s="1"/>
  <c r="K23" i="2"/>
  <c r="P22" i="2"/>
  <c r="O22" i="2"/>
  <c r="C22" i="2"/>
  <c r="D22" i="2" s="1"/>
  <c r="H21" i="2"/>
  <c r="I21" i="2" s="1"/>
  <c r="G21" i="2"/>
  <c r="O23" i="2" l="1"/>
  <c r="L23" i="2"/>
  <c r="P23" i="2" s="1"/>
  <c r="F25" i="2"/>
  <c r="E26" i="2"/>
  <c r="U25" i="2"/>
  <c r="X23" i="2"/>
  <c r="Y23" i="2" s="1"/>
  <c r="S24" i="2"/>
  <c r="W23" i="2"/>
  <c r="K24" i="2"/>
  <c r="L24" i="2" s="1"/>
  <c r="M25" i="2"/>
  <c r="N25" i="2" s="1"/>
  <c r="C23" i="2"/>
  <c r="D23" i="2" s="1"/>
  <c r="H22" i="2"/>
  <c r="I22" i="2" s="1"/>
  <c r="G22" i="2"/>
  <c r="F26" i="2" l="1"/>
  <c r="E27" i="2"/>
  <c r="S25" i="2"/>
  <c r="X24" i="2"/>
  <c r="Y24" i="2" s="1"/>
  <c r="W24" i="2"/>
  <c r="U26" i="2"/>
  <c r="K25" i="2"/>
  <c r="L25" i="2" s="1"/>
  <c r="P24" i="2"/>
  <c r="O24" i="2"/>
  <c r="M26" i="2"/>
  <c r="N26" i="2" s="1"/>
  <c r="C24" i="2"/>
  <c r="D24" i="2" s="1"/>
  <c r="H23" i="2"/>
  <c r="I23" i="2" s="1"/>
  <c r="G23" i="2"/>
  <c r="W25" i="2" l="1"/>
  <c r="F27" i="2"/>
  <c r="E28" i="2"/>
  <c r="U27" i="2"/>
  <c r="X25" i="2"/>
  <c r="Y25" i="2" s="1"/>
  <c r="S26" i="2"/>
  <c r="P25" i="2"/>
  <c r="K26" i="2"/>
  <c r="L26" i="2" s="1"/>
  <c r="O25" i="2"/>
  <c r="M27" i="2"/>
  <c r="N27" i="2" s="1"/>
  <c r="C25" i="2"/>
  <c r="D25" i="2" s="1"/>
  <c r="G24" i="2"/>
  <c r="H24" i="2"/>
  <c r="I24" i="2" s="1"/>
  <c r="F28" i="2" l="1"/>
  <c r="E29" i="2"/>
  <c r="S27" i="2"/>
  <c r="X26" i="2"/>
  <c r="Y26" i="2" s="1"/>
  <c r="W26" i="2"/>
  <c r="U28" i="2"/>
  <c r="M28" i="2"/>
  <c r="N28" i="2" s="1"/>
  <c r="K27" i="2"/>
  <c r="L27" i="2" s="1"/>
  <c r="P26" i="2"/>
  <c r="O26" i="2"/>
  <c r="C26" i="2"/>
  <c r="D26" i="2" s="1"/>
  <c r="H25" i="2"/>
  <c r="I25" i="2" s="1"/>
  <c r="G25" i="2"/>
  <c r="W27" i="2" l="1"/>
  <c r="F29" i="2"/>
  <c r="E30" i="2"/>
  <c r="U29" i="2"/>
  <c r="X27" i="2"/>
  <c r="Y27" i="2" s="1"/>
  <c r="S28" i="2"/>
  <c r="P27" i="2"/>
  <c r="K28" i="2"/>
  <c r="L28" i="2" s="1"/>
  <c r="O27" i="2"/>
  <c r="M29" i="2"/>
  <c r="N29" i="2" s="1"/>
  <c r="C27" i="2"/>
  <c r="D27" i="2" s="1"/>
  <c r="G26" i="2"/>
  <c r="H26" i="2"/>
  <c r="I26" i="2" s="1"/>
  <c r="O28" i="2" l="1"/>
  <c r="F30" i="2"/>
  <c r="E31" i="2"/>
  <c r="U30" i="2"/>
  <c r="S29" i="2"/>
  <c r="X28" i="2"/>
  <c r="Y28" i="2" s="1"/>
  <c r="W28" i="2"/>
  <c r="K29" i="2"/>
  <c r="L29" i="2" s="1"/>
  <c r="P28" i="2"/>
  <c r="M30" i="2"/>
  <c r="N30" i="2" s="1"/>
  <c r="C28" i="2"/>
  <c r="D28" i="2" s="1"/>
  <c r="H27" i="2"/>
  <c r="I27" i="2" s="1"/>
  <c r="G27" i="2"/>
  <c r="F31" i="2" l="1"/>
  <c r="E32" i="2"/>
  <c r="X29" i="2"/>
  <c r="Y29" i="2" s="1"/>
  <c r="S30" i="2"/>
  <c r="W29" i="2"/>
  <c r="U31" i="2"/>
  <c r="M31" i="2"/>
  <c r="N31" i="2" s="1"/>
  <c r="P29" i="2"/>
  <c r="K30" i="2"/>
  <c r="L30" i="2" s="1"/>
  <c r="O29" i="2"/>
  <c r="C29" i="2"/>
  <c r="D29" i="2" s="1"/>
  <c r="G28" i="2"/>
  <c r="H28" i="2"/>
  <c r="I28" i="2" s="1"/>
  <c r="W30" i="2" l="1"/>
  <c r="F32" i="2"/>
  <c r="E33" i="2"/>
  <c r="S31" i="2"/>
  <c r="X30" i="2"/>
  <c r="Y30" i="2" s="1"/>
  <c r="U32" i="2"/>
  <c r="K31" i="2"/>
  <c r="L31" i="2" s="1"/>
  <c r="O30" i="2"/>
  <c r="M32" i="2"/>
  <c r="N32" i="2" s="1"/>
  <c r="P30" i="2"/>
  <c r="C30" i="2"/>
  <c r="D30" i="2" s="1"/>
  <c r="G29" i="2"/>
  <c r="H29" i="2"/>
  <c r="I29" i="2" s="1"/>
  <c r="O31" i="2" l="1"/>
  <c r="F33" i="2"/>
  <c r="E34" i="2"/>
  <c r="X31" i="2"/>
  <c r="Y31" i="2" s="1"/>
  <c r="S32" i="2"/>
  <c r="W31" i="2"/>
  <c r="U33" i="2"/>
  <c r="M33" i="2"/>
  <c r="N33" i="2" s="1"/>
  <c r="P31" i="2"/>
  <c r="K32" i="2"/>
  <c r="C31" i="2"/>
  <c r="D31" i="2" s="1"/>
  <c r="H30" i="2"/>
  <c r="I30" i="2" s="1"/>
  <c r="G30" i="2"/>
  <c r="W32" i="2" l="1"/>
  <c r="X32" i="2"/>
  <c r="Y32" i="2" s="1"/>
  <c r="O32" i="2"/>
  <c r="L32" i="2"/>
  <c r="P32" i="2" s="1"/>
  <c r="F34" i="2"/>
  <c r="E35" i="2"/>
  <c r="U34" i="2"/>
  <c r="S33" i="2"/>
  <c r="M34" i="2"/>
  <c r="N34" i="2" s="1"/>
  <c r="K33" i="2"/>
  <c r="L33" i="2" s="1"/>
  <c r="C32" i="2"/>
  <c r="D32" i="2" s="1"/>
  <c r="H31" i="2"/>
  <c r="I31" i="2" s="1"/>
  <c r="G31" i="2"/>
  <c r="F35" i="2" l="1"/>
  <c r="E36" i="2"/>
  <c r="X33" i="2"/>
  <c r="Y33" i="2" s="1"/>
  <c r="S34" i="2"/>
  <c r="W33" i="2"/>
  <c r="U35" i="2"/>
  <c r="K34" i="2"/>
  <c r="L34" i="2" s="1"/>
  <c r="O33" i="2"/>
  <c r="P33" i="2"/>
  <c r="M35" i="2"/>
  <c r="N35" i="2" s="1"/>
  <c r="C33" i="2"/>
  <c r="D33" i="2" s="1"/>
  <c r="H32" i="2"/>
  <c r="I32" i="2" s="1"/>
  <c r="G32" i="2"/>
  <c r="O34" i="2" l="1"/>
  <c r="W34" i="2"/>
  <c r="F36" i="2"/>
  <c r="E37" i="2"/>
  <c r="F37" i="2" s="1"/>
  <c r="S35" i="2"/>
  <c r="U36" i="2"/>
  <c r="X34" i="2"/>
  <c r="Y34" i="2" s="1"/>
  <c r="M36" i="2"/>
  <c r="N36" i="2" s="1"/>
  <c r="K35" i="2"/>
  <c r="P34" i="2"/>
  <c r="C34" i="2"/>
  <c r="D34" i="2" s="1"/>
  <c r="H33" i="2"/>
  <c r="I33" i="2" s="1"/>
  <c r="G33" i="2"/>
  <c r="W35" i="2" l="1"/>
  <c r="X35" i="2"/>
  <c r="Y35" i="2" s="1"/>
  <c r="O35" i="2"/>
  <c r="L35" i="2"/>
  <c r="P35" i="2" s="1"/>
  <c r="U37" i="2"/>
  <c r="S36" i="2"/>
  <c r="M37" i="2"/>
  <c r="N37" i="2" s="1"/>
  <c r="K36" i="2"/>
  <c r="L36" i="2" s="1"/>
  <c r="C35" i="2"/>
  <c r="D35" i="2" s="1"/>
  <c r="H34" i="2"/>
  <c r="I34" i="2" s="1"/>
  <c r="G34" i="2"/>
  <c r="W36" i="2" l="1"/>
  <c r="X36" i="2"/>
  <c r="Y36" i="2" s="1"/>
  <c r="S37" i="2"/>
  <c r="X37" i="2" s="1"/>
  <c r="Y37" i="2" s="1"/>
  <c r="K37" i="2"/>
  <c r="L37" i="2" s="1"/>
  <c r="P36" i="2"/>
  <c r="O36" i="2"/>
  <c r="C36" i="2"/>
  <c r="D36" i="2" s="1"/>
  <c r="H35" i="2"/>
  <c r="I35" i="2" s="1"/>
  <c r="G35" i="2"/>
  <c r="O37" i="2" l="1"/>
  <c r="W37" i="2"/>
  <c r="P37" i="2"/>
  <c r="C37" i="2"/>
  <c r="D37" i="2" s="1"/>
  <c r="H36" i="2"/>
  <c r="I36" i="2" s="1"/>
  <c r="G36" i="2"/>
  <c r="H37" i="2" l="1"/>
  <c r="I37" i="2" s="1"/>
  <c r="G37" i="2"/>
</calcChain>
</file>

<file path=xl/sharedStrings.xml><?xml version="1.0" encoding="utf-8"?>
<sst xmlns="http://schemas.openxmlformats.org/spreadsheetml/2006/main" count="156" uniqueCount="88">
  <si>
    <t>US 21/SC 802 Corridor Improvements Benefit Cost Analysis</t>
  </si>
  <si>
    <t>Beaufort HS Access Realignment</t>
  </si>
  <si>
    <t>Hazel Farm Road/Gay Drive</t>
  </si>
  <si>
    <t>Lady's Island MS Access Road</t>
  </si>
  <si>
    <t>Meadowbrook Drive Ext.</t>
  </si>
  <si>
    <t>Mayfair Court Ext.</t>
  </si>
  <si>
    <t>Sunset Boulevard/Miller Drive W</t>
  </si>
  <si>
    <t>Notes:</t>
  </si>
  <si>
    <t>1. The original 2017 study budget excluded costs for right-of-way acquisition, utility relocations and undergrounding of utilities, sustainability landscaping associated with water quality and streetscaping, etc.</t>
  </si>
  <si>
    <t xml:space="preserve">US 21/SC 802 Corridor Improvements </t>
  </si>
  <si>
    <t>Budget Differences</t>
  </si>
  <si>
    <t>2021 Budget Updates</t>
  </si>
  <si>
    <t>2. All projects require new right of way and/or permissions. Streetscaping and undergrounding of utilities will be incorporated into US 21/SC 802 Corridor Improvements, Hazel Farm Road/Gay Drive, Sunset Boulevard/Miller Drive W, Beaufort HS Access Realignment, and Lady's Island MS Access Road.</t>
  </si>
  <si>
    <t>Other Local Contributions</t>
  </si>
  <si>
    <t>RAISE Grant Request</t>
  </si>
  <si>
    <t>Project Funding</t>
  </si>
  <si>
    <t>Lady's Island Corridor Traffic Improvements Budget Summary</t>
  </si>
  <si>
    <r>
      <t>Project</t>
    </r>
    <r>
      <rPr>
        <vertAlign val="superscript"/>
        <sz val="12"/>
        <color theme="1"/>
        <rFont val="Myriad Pro Cond"/>
        <family val="2"/>
      </rPr>
      <t xml:space="preserve"> (2)</t>
    </r>
  </si>
  <si>
    <r>
      <t>2018 1% Sales and Use Tax Budget ($30 Million)</t>
    </r>
    <r>
      <rPr>
        <vertAlign val="superscript"/>
        <sz val="12"/>
        <color theme="1"/>
        <rFont val="Myriad Pro Cond"/>
        <family val="2"/>
      </rPr>
      <t>(1)</t>
    </r>
  </si>
  <si>
    <r>
      <t xml:space="preserve">Airport Frontage Road </t>
    </r>
    <r>
      <rPr>
        <vertAlign val="superscript"/>
        <sz val="12"/>
        <color theme="1"/>
        <rFont val="Myriad Pro Cond"/>
        <family val="2"/>
      </rPr>
      <t>(3)</t>
    </r>
  </si>
  <si>
    <t>Budget Total</t>
  </si>
  <si>
    <r>
      <t xml:space="preserve">SC 802 Turn Lane </t>
    </r>
    <r>
      <rPr>
        <vertAlign val="superscript"/>
        <sz val="12"/>
        <color theme="1"/>
        <rFont val="Myriad Pro Cond"/>
        <family val="2"/>
      </rPr>
      <t>(3)</t>
    </r>
  </si>
  <si>
    <t>3. Project funding overage is applied to other "Access Roads" as these will be constructed in advance of the US 21/SC 802 Corridor Improvements.</t>
  </si>
  <si>
    <t>Year Totals</t>
  </si>
  <si>
    <t>Year</t>
  </si>
  <si>
    <t>Fatal (4)</t>
  </si>
  <si>
    <t>Injury (326)</t>
  </si>
  <si>
    <t>PDO (691)</t>
  </si>
  <si>
    <t>Crash Type (8 years)</t>
  </si>
  <si>
    <t>Annual Forecast Number of Crashes</t>
  </si>
  <si>
    <t>Estimated Cost</t>
  </si>
  <si>
    <t>AADT</t>
  </si>
  <si>
    <t>"Access Roads" Constructed</t>
  </si>
  <si>
    <t>VMT</t>
  </si>
  <si>
    <r>
      <t>AADT</t>
    </r>
    <r>
      <rPr>
        <vertAlign val="superscript"/>
        <sz val="12"/>
        <color theme="1"/>
        <rFont val="Myriad Pro Cond"/>
        <family val="2"/>
      </rPr>
      <t xml:space="preserve"> (1)</t>
    </r>
  </si>
  <si>
    <t>1) AADT has a 1% Growth Rate Compounded Annually.</t>
  </si>
  <si>
    <t>"Access Roads" Not Constructed</t>
  </si>
  <si>
    <r>
      <t>AADT</t>
    </r>
    <r>
      <rPr>
        <vertAlign val="superscript"/>
        <sz val="12"/>
        <color theme="1"/>
        <rFont val="Myriad Pro Cond"/>
        <family val="2"/>
      </rPr>
      <t xml:space="preserve"> (2)</t>
    </r>
  </si>
  <si>
    <t>2) AADT has a 1.71% Linear Growth Rate or 1.59% Exponential Growth Rate.</t>
  </si>
  <si>
    <r>
      <t>VMT</t>
    </r>
    <r>
      <rPr>
        <vertAlign val="superscript"/>
        <sz val="12"/>
        <color theme="1"/>
        <rFont val="Myriad Pro Cond"/>
        <family val="2"/>
      </rPr>
      <t xml:space="preserve"> (3)</t>
    </r>
  </si>
  <si>
    <t>Base Year</t>
  </si>
  <si>
    <t>Reductions on Corridor</t>
  </si>
  <si>
    <t>US 21 (Lady's Island Dr) south of US 21 (Sea Island Parkway)</t>
  </si>
  <si>
    <t>US 21 Bus. (Sea Island Parkway) west of Sunset Boulevard</t>
  </si>
  <si>
    <t>3) VMT is based on 2.2 miles for US 21 Bus/US 21 (Sea Island Parkway); 0.8 miles for US 21 (Lady's Island Drive)/SC 802; and 3 miles combined</t>
  </si>
  <si>
    <t>Average of Both Corridor: US 21 Bus/US 21 (Sea Island Parkway) and US 21 (Lady's Island Drive)/SC 802 (Sam's Point Road)</t>
  </si>
  <si>
    <t>AADT &amp; VMT Benefits</t>
  </si>
  <si>
    <t>Average of Both Corridors</t>
  </si>
  <si>
    <t>% Difference</t>
  </si>
  <si>
    <t>3) VMT is based on a combined 3 miles for the overall project limits.</t>
  </si>
  <si>
    <r>
      <t xml:space="preserve">4) Base year and growth rates are from </t>
    </r>
    <r>
      <rPr>
        <i/>
        <sz val="12"/>
        <color theme="1"/>
        <rFont val="Myriad Pro Cond"/>
        <family val="2"/>
      </rPr>
      <t>2021 Lady's Island Traffic Report (update)</t>
    </r>
    <r>
      <rPr>
        <sz val="12"/>
        <color theme="1"/>
        <rFont val="Myriad Pro Cond"/>
        <family val="2"/>
      </rPr>
      <t>.</t>
    </r>
  </si>
  <si>
    <t>Bicycle and Pedestrian Facilities Connected to US 21/SC 802 Corridor Improvements</t>
  </si>
  <si>
    <t>Road</t>
  </si>
  <si>
    <t>US 21 Business (Sea Island Parkway)</t>
  </si>
  <si>
    <t>US 21 (Sea Island Parkway)</t>
  </si>
  <si>
    <t>US 21 (Lady's Island Drive)</t>
  </si>
  <si>
    <t>SC 802 (Sam's Point Road)</t>
  </si>
  <si>
    <t>Airport Frontage Road</t>
  </si>
  <si>
    <t>Meridian Road</t>
  </si>
  <si>
    <t>Middle Road</t>
  </si>
  <si>
    <t>Sidewalks &amp; Pathways</t>
  </si>
  <si>
    <t>"Access Roads"</t>
  </si>
  <si>
    <t>US 21/SC 802 Corridor</t>
  </si>
  <si>
    <t>Dr. Martin Luther King Jr Drive             (St. Helena Island)</t>
  </si>
  <si>
    <t>Pathway</t>
  </si>
  <si>
    <t>Sidewalk</t>
  </si>
  <si>
    <t>10-ft</t>
  </si>
  <si>
    <t>5-ft</t>
  </si>
  <si>
    <t>8-ft</t>
  </si>
  <si>
    <t>Length</t>
  </si>
  <si>
    <t>Bike Lanes</t>
  </si>
  <si>
    <t>10' paths and bikes lanes on both sides of road</t>
  </si>
  <si>
    <t>4.5-ft</t>
  </si>
  <si>
    <t>10' paths on boths sides to Dow Road, 10' path &amp; 5' sidewalk on one side to end, 4.5-ft bike lanes on both sides</t>
  </si>
  <si>
    <t>4-ft</t>
  </si>
  <si>
    <t>10' paths on both sides to Carolyn Dr, 10' path on one side to Meridian Rd, 10' path on Geechie Rd, 10'path on Merdian Rd w/in intersection improvements</t>
  </si>
  <si>
    <t>10' path on one side and 5' sidewalk on opposite side</t>
  </si>
  <si>
    <t>10' path on one side and 5' sidewalk on opposite side, 10' path on one side on Robin Dr</t>
  </si>
  <si>
    <t>10' path on one side and 5' sidewalk on opposite side, 10' path on Inlet Rd</t>
  </si>
  <si>
    <t>10' path on one side from US 21 Bus to US 21</t>
  </si>
  <si>
    <t>8' path on one side</t>
  </si>
  <si>
    <t>8' path on one side from US 21 to Jonathan Fancis Senior Rd</t>
  </si>
  <si>
    <t>8' path on one side from SC 802 west</t>
  </si>
  <si>
    <t>Total Length (lane miles)</t>
  </si>
  <si>
    <t>Facility (Type and Length - lane miles)</t>
  </si>
  <si>
    <t>Corridor Reduction Totals</t>
  </si>
  <si>
    <t>Annual VMT</t>
  </si>
  <si>
    <t>VMT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</si>
</sst>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Myriad Pro Cond"/>
      <family val="2"/>
    </font>
    <font>
      <vertAlign val="superscript"/>
      <sz val="12"/>
      <color theme="1"/>
      <name val="Myriad Pro Cond"/>
      <family val="2"/>
    </font>
    <font>
      <i/>
      <sz val="12"/>
      <color theme="1"/>
      <name val="Myriad Pro Cond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center" wrapText="1"/>
    </xf>
    <xf numFmtId="44" fontId="1" fillId="0" borderId="3" xfId="0" applyNumberFormat="1" applyFont="1" applyBorder="1"/>
    <xf numFmtId="0" fontId="1" fillId="0" borderId="6" xfId="0" applyFont="1" applyBorder="1" applyAlignment="1">
      <alignment horizontal="center" wrapText="1"/>
    </xf>
    <xf numFmtId="44" fontId="1" fillId="0" borderId="5" xfId="0" applyNumberFormat="1" applyFont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4" fontId="1" fillId="0" borderId="10" xfId="0" applyNumberFormat="1" applyFont="1" applyBorder="1"/>
    <xf numFmtId="44" fontId="1" fillId="0" borderId="11" xfId="0" applyNumberFormat="1" applyFont="1" applyBorder="1"/>
    <xf numFmtId="44" fontId="1" fillId="0" borderId="12" xfId="0" applyNumberFormat="1" applyFont="1" applyBorder="1"/>
    <xf numFmtId="0" fontId="1" fillId="0" borderId="13" xfId="0" applyFont="1" applyBorder="1"/>
    <xf numFmtId="44" fontId="1" fillId="0" borderId="14" xfId="0" applyNumberFormat="1" applyFont="1" applyBorder="1"/>
    <xf numFmtId="44" fontId="1" fillId="0" borderId="15" xfId="0" applyNumberFormat="1" applyFont="1" applyBorder="1"/>
    <xf numFmtId="44" fontId="1" fillId="0" borderId="16" xfId="0" applyNumberFormat="1" applyFont="1" applyBorder="1"/>
    <xf numFmtId="44" fontId="1" fillId="0" borderId="17" xfId="0" applyNumberFormat="1" applyFont="1" applyBorder="1"/>
    <xf numFmtId="44" fontId="1" fillId="0" borderId="18" xfId="0" applyNumberFormat="1" applyFont="1" applyBorder="1"/>
    <xf numFmtId="0" fontId="1" fillId="0" borderId="19" xfId="0" applyFont="1" applyBorder="1"/>
    <xf numFmtId="44" fontId="1" fillId="0" borderId="20" xfId="0" applyNumberFormat="1" applyFont="1" applyBorder="1"/>
    <xf numFmtId="44" fontId="1" fillId="0" borderId="21" xfId="0" applyNumberFormat="1" applyFont="1" applyBorder="1"/>
    <xf numFmtId="44" fontId="1" fillId="0" borderId="22" xfId="0" applyNumberFormat="1" applyFont="1" applyBorder="1"/>
    <xf numFmtId="44" fontId="1" fillId="0" borderId="23" xfId="0" applyNumberFormat="1" applyFont="1" applyBorder="1"/>
    <xf numFmtId="44" fontId="1" fillId="0" borderId="24" xfId="0" applyNumberFormat="1" applyFont="1" applyBorder="1"/>
    <xf numFmtId="0" fontId="1" fillId="0" borderId="25" xfId="0" applyFont="1" applyBorder="1"/>
    <xf numFmtId="44" fontId="1" fillId="0" borderId="26" xfId="0" applyNumberFormat="1" applyFont="1" applyBorder="1"/>
    <xf numFmtId="44" fontId="1" fillId="0" borderId="27" xfId="0" applyNumberFormat="1" applyFont="1" applyBorder="1"/>
    <xf numFmtId="44" fontId="1" fillId="0" borderId="28" xfId="0" applyNumberFormat="1" applyFont="1" applyBorder="1"/>
    <xf numFmtId="44" fontId="1" fillId="0" borderId="29" xfId="0" applyNumberFormat="1" applyFont="1" applyBorder="1"/>
    <xf numFmtId="44" fontId="1" fillId="0" borderId="30" xfId="0" applyNumberFormat="1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/>
    <xf numFmtId="2" fontId="1" fillId="0" borderId="1" xfId="0" applyNumberFormat="1" applyFont="1" applyBorder="1"/>
    <xf numFmtId="0" fontId="1" fillId="0" borderId="31" xfId="0" applyFont="1" applyBorder="1"/>
    <xf numFmtId="0" fontId="1" fillId="0" borderId="3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1" fillId="0" borderId="0" xfId="0" applyNumberFormat="1" applyFont="1"/>
    <xf numFmtId="0" fontId="0" fillId="0" borderId="0" xfId="0" applyBorder="1" applyAlignment="1"/>
    <xf numFmtId="0" fontId="1" fillId="0" borderId="0" xfId="0" applyFont="1" applyBorder="1"/>
    <xf numFmtId="0" fontId="1" fillId="0" borderId="34" xfId="0" applyFont="1" applyBorder="1"/>
    <xf numFmtId="0" fontId="1" fillId="0" borderId="33" xfId="0" applyFont="1" applyBorder="1"/>
    <xf numFmtId="10" fontId="1" fillId="0" borderId="0" xfId="0" applyNumberFormat="1" applyFont="1" applyAlignment="1">
      <alignment horizontal="center"/>
    </xf>
    <xf numFmtId="0" fontId="0" fillId="0" borderId="31" xfId="0" applyBorder="1"/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6" xfId="0" applyBorder="1"/>
    <xf numFmtId="0" fontId="1" fillId="0" borderId="37" xfId="0" applyFont="1" applyBorder="1"/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4" fontId="1" fillId="0" borderId="35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/>
    <xf numFmtId="0" fontId="1" fillId="0" borderId="0" xfId="0" applyFont="1" applyAlignment="1"/>
    <xf numFmtId="0" fontId="0" fillId="0" borderId="0" xfId="0" applyAlignment="1"/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1" fillId="0" borderId="46" xfId="0" applyFont="1" applyBorder="1" applyAlignment="1">
      <alignment wrapText="1"/>
    </xf>
    <xf numFmtId="0" fontId="0" fillId="0" borderId="45" xfId="0" applyBorder="1" applyAlignment="1"/>
    <xf numFmtId="0" fontId="1" fillId="0" borderId="43" xfId="0" applyFont="1" applyBorder="1" applyAlignment="1"/>
    <xf numFmtId="0" fontId="0" fillId="0" borderId="42" xfId="0" applyBorder="1" applyAlignment="1"/>
    <xf numFmtId="0" fontId="1" fillId="0" borderId="40" xfId="0" applyFont="1" applyBorder="1" applyAlignment="1"/>
    <xf numFmtId="0" fontId="0" fillId="0" borderId="39" xfId="0" applyBorder="1" applyAlignment="1"/>
    <xf numFmtId="0" fontId="1" fillId="0" borderId="37" xfId="0" applyFont="1" applyBorder="1" applyAlignment="1">
      <alignment wrapText="1"/>
    </xf>
    <xf numFmtId="0" fontId="0" fillId="0" borderId="36" xfId="0" applyBorder="1" applyAlignment="1">
      <alignment wrapText="1"/>
    </xf>
    <xf numFmtId="0" fontId="1" fillId="0" borderId="43" xfId="0" applyFont="1" applyBorder="1" applyAlignment="1">
      <alignment wrapText="1"/>
    </xf>
    <xf numFmtId="0" fontId="0" fillId="0" borderId="42" xfId="0" applyBorder="1" applyAlignment="1">
      <alignment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A3B13-8A8A-4E0E-80DC-7163C059FEEF}">
  <dimension ref="A1:I21"/>
  <sheetViews>
    <sheetView workbookViewId="0">
      <selection activeCell="B15" sqref="B15"/>
    </sheetView>
  </sheetViews>
  <sheetFormatPr defaultRowHeight="15" x14ac:dyDescent="0.25"/>
  <cols>
    <col min="1" max="1" width="27.42578125" customWidth="1"/>
    <col min="2" max="2" width="18.5703125" customWidth="1"/>
    <col min="3" max="3" width="20.7109375" customWidth="1"/>
    <col min="4" max="5" width="15.28515625" bestFit="1" customWidth="1"/>
    <col min="6" max="6" width="16.42578125" customWidth="1"/>
    <col min="7" max="7" width="15.28515625" customWidth="1"/>
    <col min="9" max="9" width="20.140625" customWidth="1"/>
  </cols>
  <sheetData>
    <row r="1" spans="1:9" ht="15.75" x14ac:dyDescent="0.25">
      <c r="A1" s="2" t="s">
        <v>0</v>
      </c>
      <c r="B1" s="2"/>
      <c r="C1" s="2"/>
      <c r="D1" s="2"/>
      <c r="E1" s="2"/>
      <c r="F1" s="2"/>
      <c r="G1" s="2"/>
    </row>
    <row r="2" spans="1:9" ht="15.75" x14ac:dyDescent="0.25">
      <c r="A2" s="2"/>
      <c r="B2" s="2"/>
      <c r="C2" s="2"/>
      <c r="D2" s="2"/>
      <c r="E2" s="2"/>
      <c r="F2" s="2"/>
      <c r="G2" s="2"/>
    </row>
    <row r="3" spans="1:9" ht="15.75" x14ac:dyDescent="0.25">
      <c r="A3" s="79" t="s">
        <v>16</v>
      </c>
      <c r="B3" s="80"/>
      <c r="C3" s="80"/>
      <c r="D3" s="80"/>
      <c r="E3" s="80"/>
      <c r="F3" s="80"/>
      <c r="G3" s="2"/>
    </row>
    <row r="4" spans="1:9" ht="15.75" x14ac:dyDescent="0.25">
      <c r="A4" s="2"/>
      <c r="B4" s="2"/>
      <c r="C4" s="2"/>
      <c r="D4" s="2"/>
      <c r="E4" s="2"/>
      <c r="F4" s="2"/>
      <c r="G4" s="2"/>
    </row>
    <row r="5" spans="1:9" ht="37.5" customHeight="1" thickBot="1" x14ac:dyDescent="0.3">
      <c r="A5" s="4" t="s">
        <v>17</v>
      </c>
      <c r="B5" s="6" t="s">
        <v>11</v>
      </c>
      <c r="C5" s="10" t="s">
        <v>18</v>
      </c>
      <c r="D5" s="11" t="s">
        <v>13</v>
      </c>
      <c r="E5" s="12" t="s">
        <v>14</v>
      </c>
      <c r="F5" s="8" t="s">
        <v>15</v>
      </c>
      <c r="G5" s="2"/>
    </row>
    <row r="6" spans="1:9" ht="18" x14ac:dyDescent="0.25">
      <c r="A6" s="16" t="s">
        <v>19</v>
      </c>
      <c r="B6" s="17">
        <v>4098831.62</v>
      </c>
      <c r="C6" s="18">
        <v>4980303.8</v>
      </c>
      <c r="D6" s="19">
        <v>95000</v>
      </c>
      <c r="E6" s="20"/>
      <c r="F6" s="21">
        <f>SUM(C6:E6)</f>
        <v>5075303.8</v>
      </c>
      <c r="G6" s="2"/>
    </row>
    <row r="7" spans="1:9" ht="15.75" x14ac:dyDescent="0.25">
      <c r="A7" s="22" t="s">
        <v>1</v>
      </c>
      <c r="B7" s="23">
        <v>6284796.3899999997</v>
      </c>
      <c r="C7" s="24">
        <v>1792274.17</v>
      </c>
      <c r="D7" s="25">
        <f>SUM(B7-C7)</f>
        <v>4492522.22</v>
      </c>
      <c r="E7" s="26"/>
      <c r="F7" s="27">
        <f t="shared" ref="F7:F14" si="0">SUM(C7:E7)</f>
        <v>6284796.3899999997</v>
      </c>
      <c r="G7" s="2"/>
    </row>
    <row r="8" spans="1:9" ht="15.75" x14ac:dyDescent="0.25">
      <c r="A8" s="22" t="s">
        <v>2</v>
      </c>
      <c r="B8" s="23">
        <v>5626741.8899999997</v>
      </c>
      <c r="C8" s="24">
        <v>2983756.85</v>
      </c>
      <c r="D8" s="25">
        <f>SUM(B8-C8)</f>
        <v>2642985.0399999996</v>
      </c>
      <c r="E8" s="26"/>
      <c r="F8" s="27">
        <f t="shared" si="0"/>
        <v>5626741.8899999997</v>
      </c>
      <c r="G8" s="2"/>
    </row>
    <row r="9" spans="1:9" ht="15.75" x14ac:dyDescent="0.25">
      <c r="A9" s="22" t="s">
        <v>3</v>
      </c>
      <c r="B9" s="23">
        <v>5112265.03</v>
      </c>
      <c r="C9" s="24">
        <v>1482880</v>
      </c>
      <c r="D9" s="25">
        <f>SUM(B9-C9)</f>
        <v>3629385.0300000003</v>
      </c>
      <c r="E9" s="26"/>
      <c r="F9" s="27">
        <f t="shared" si="0"/>
        <v>5112265.03</v>
      </c>
      <c r="G9" s="2"/>
    </row>
    <row r="10" spans="1:9" ht="15.75" x14ac:dyDescent="0.25">
      <c r="A10" s="22" t="s">
        <v>5</v>
      </c>
      <c r="B10" s="23">
        <v>579275.46</v>
      </c>
      <c r="C10" s="24">
        <v>449630.53</v>
      </c>
      <c r="D10" s="25">
        <f>SUM(B10-C10)</f>
        <v>129644.92999999993</v>
      </c>
      <c r="E10" s="26"/>
      <c r="F10" s="27">
        <f t="shared" si="0"/>
        <v>579275.46</v>
      </c>
      <c r="G10" s="2"/>
    </row>
    <row r="11" spans="1:9" ht="15.75" x14ac:dyDescent="0.25">
      <c r="A11" s="22" t="s">
        <v>4</v>
      </c>
      <c r="B11" s="23">
        <v>805233.09</v>
      </c>
      <c r="C11" s="24">
        <v>776500</v>
      </c>
      <c r="D11" s="25">
        <f>SUM(B11-C11)</f>
        <v>28733.089999999967</v>
      </c>
      <c r="E11" s="26"/>
      <c r="F11" s="27">
        <f t="shared" si="0"/>
        <v>805233.09</v>
      </c>
      <c r="G11" s="2"/>
    </row>
    <row r="12" spans="1:9" ht="18" x14ac:dyDescent="0.25">
      <c r="A12" s="22" t="s">
        <v>21</v>
      </c>
      <c r="B12" s="23">
        <v>768233.11</v>
      </c>
      <c r="C12" s="24">
        <v>761188.8</v>
      </c>
      <c r="D12" s="25">
        <v>38845.949999999997</v>
      </c>
      <c r="E12" s="26"/>
      <c r="F12" s="27">
        <f t="shared" si="0"/>
        <v>800034.75</v>
      </c>
      <c r="G12" s="2"/>
    </row>
    <row r="13" spans="1:9" ht="15.75" x14ac:dyDescent="0.25">
      <c r="A13" s="22" t="s">
        <v>6</v>
      </c>
      <c r="B13" s="23">
        <v>7761231.9199999999</v>
      </c>
      <c r="C13" s="24">
        <v>4842155.0199999996</v>
      </c>
      <c r="D13" s="25">
        <f>SUM(B13-C13-878628.89-129644.93)</f>
        <v>1910803.0800000003</v>
      </c>
      <c r="E13" s="26"/>
      <c r="F13" s="27">
        <f t="shared" si="0"/>
        <v>6752958.0999999996</v>
      </c>
      <c r="G13" s="2"/>
    </row>
    <row r="14" spans="1:9" ht="16.5" thickBot="1" x14ac:dyDescent="0.3">
      <c r="A14" s="28" t="s">
        <v>9</v>
      </c>
      <c r="B14" s="29">
        <v>41288411.710000001</v>
      </c>
      <c r="C14" s="30">
        <v>10775744.92</v>
      </c>
      <c r="D14" s="31">
        <f>SUM(B14-C14-E14)</f>
        <v>5512666.7899999991</v>
      </c>
      <c r="E14" s="32">
        <v>25000000</v>
      </c>
      <c r="F14" s="33">
        <f t="shared" si="0"/>
        <v>41288411.710000001</v>
      </c>
      <c r="G14" s="2"/>
      <c r="I14" s="1"/>
    </row>
    <row r="15" spans="1:9" ht="15.75" x14ac:dyDescent="0.25">
      <c r="A15" s="5" t="s">
        <v>20</v>
      </c>
      <c r="B15" s="7">
        <f>SUM(B6:B14)</f>
        <v>72325020.219999999</v>
      </c>
      <c r="C15" s="13">
        <f>SUM(C6:C14)</f>
        <v>28844434.090000004</v>
      </c>
      <c r="D15" s="14">
        <f>SUM(D6:D14)</f>
        <v>18480586.129999995</v>
      </c>
      <c r="E15" s="15">
        <f>SUM(E6:E14)</f>
        <v>25000000</v>
      </c>
      <c r="F15" s="9">
        <f>SUM(F6:F14)</f>
        <v>72325020.219999999</v>
      </c>
      <c r="G15" s="2"/>
      <c r="I15" s="1"/>
    </row>
    <row r="16" spans="1:9" ht="15.75" x14ac:dyDescent="0.25">
      <c r="A16" s="5" t="s">
        <v>10</v>
      </c>
      <c r="B16" s="7">
        <f>SUM(30000000-B15)</f>
        <v>-42325020.219999999</v>
      </c>
      <c r="C16" s="13">
        <f>SUM(30000000-C15)</f>
        <v>1155565.9099999964</v>
      </c>
      <c r="D16" s="14"/>
      <c r="E16" s="15"/>
      <c r="F16" s="9">
        <f>SUM(F15-E15-D15-C15)</f>
        <v>0</v>
      </c>
      <c r="G16" s="2"/>
    </row>
    <row r="17" spans="1:7" ht="15.75" x14ac:dyDescent="0.25">
      <c r="A17" s="2"/>
      <c r="B17" s="2"/>
      <c r="C17" s="3"/>
      <c r="D17" s="2"/>
      <c r="E17" s="2"/>
      <c r="F17" s="2"/>
      <c r="G17" s="2"/>
    </row>
    <row r="18" spans="1:7" ht="15.75" x14ac:dyDescent="0.25">
      <c r="A18" s="2" t="s">
        <v>7</v>
      </c>
      <c r="B18" s="2"/>
      <c r="C18" s="2"/>
      <c r="D18" s="2"/>
      <c r="E18" s="2"/>
      <c r="F18" s="2"/>
      <c r="G18" s="2"/>
    </row>
    <row r="19" spans="1:7" ht="30.75" customHeight="1" x14ac:dyDescent="0.25">
      <c r="A19" s="77" t="s">
        <v>8</v>
      </c>
      <c r="B19" s="78"/>
      <c r="C19" s="78"/>
      <c r="D19" s="78"/>
      <c r="E19" s="78"/>
      <c r="F19" s="78"/>
      <c r="G19" s="2"/>
    </row>
    <row r="20" spans="1:7" ht="31.5" customHeight="1" x14ac:dyDescent="0.25">
      <c r="A20" s="77" t="s">
        <v>12</v>
      </c>
      <c r="B20" s="78"/>
      <c r="C20" s="78"/>
      <c r="D20" s="78"/>
      <c r="E20" s="78"/>
      <c r="F20" s="78"/>
      <c r="G20" s="2"/>
    </row>
    <row r="21" spans="1:7" ht="17.25" customHeight="1" x14ac:dyDescent="0.25">
      <c r="A21" s="77" t="s">
        <v>22</v>
      </c>
      <c r="B21" s="78"/>
      <c r="C21" s="78"/>
      <c r="D21" s="78"/>
      <c r="E21" s="78"/>
      <c r="F21" s="78"/>
      <c r="G21" s="2"/>
    </row>
  </sheetData>
  <mergeCells count="4">
    <mergeCell ref="A19:F19"/>
    <mergeCell ref="A20:F20"/>
    <mergeCell ref="A21:F21"/>
    <mergeCell ref="A3:F3"/>
  </mergeCells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293A-3803-4502-B070-E195D36F37D8}">
  <dimension ref="A1:Z92"/>
  <sheetViews>
    <sheetView tabSelected="1" topLeftCell="A31" workbookViewId="0">
      <selection activeCell="E47" sqref="E47:G47"/>
    </sheetView>
  </sheetViews>
  <sheetFormatPr defaultRowHeight="15" x14ac:dyDescent="0.25"/>
  <cols>
    <col min="1" max="1" width="8.85546875" customWidth="1"/>
    <col min="2" max="2" width="10.5703125" customWidth="1"/>
    <col min="3" max="4" width="11.7109375" customWidth="1"/>
    <col min="5" max="6" width="12.7109375" customWidth="1"/>
    <col min="7" max="7" width="13.42578125" customWidth="1"/>
    <col min="8" max="9" width="11.7109375" customWidth="1"/>
    <col min="10" max="10" width="5.7109375" customWidth="1"/>
    <col min="11" max="17" width="11.7109375" customWidth="1"/>
    <col min="18" max="18" width="5.7109375" customWidth="1"/>
    <col min="19" max="25" width="11.7109375" customWidth="1"/>
  </cols>
  <sheetData>
    <row r="1" spans="1:26" ht="15.75" x14ac:dyDescent="0.25">
      <c r="A1" s="94" t="s">
        <v>46</v>
      </c>
      <c r="B1" s="94"/>
      <c r="C1" s="94"/>
      <c r="D1" s="94"/>
      <c r="E1" s="94"/>
      <c r="F1" s="94"/>
      <c r="G1" s="94"/>
      <c r="H1" s="94"/>
      <c r="I1" s="87"/>
      <c r="J1" s="38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</row>
    <row r="2" spans="1:26" ht="16.5" thickBot="1" x14ac:dyDescent="0.3">
      <c r="A2" s="92" t="s">
        <v>45</v>
      </c>
      <c r="B2" s="92"/>
      <c r="C2" s="92"/>
      <c r="D2" s="92"/>
      <c r="E2" s="92"/>
      <c r="F2" s="92"/>
      <c r="G2" s="92"/>
      <c r="H2" s="92"/>
      <c r="I2" s="93"/>
      <c r="J2" s="49"/>
      <c r="K2" s="2"/>
      <c r="L2" s="2"/>
      <c r="M2" s="35"/>
      <c r="N2" s="2"/>
      <c r="O2" s="2"/>
      <c r="P2" s="2"/>
      <c r="Q2" s="2"/>
      <c r="R2" s="2"/>
      <c r="S2" s="2"/>
      <c r="T2" s="2"/>
      <c r="U2" s="2"/>
      <c r="V2" s="2"/>
    </row>
    <row r="3" spans="1:26" ht="15.75" customHeight="1" x14ac:dyDescent="0.25">
      <c r="C3" s="89" t="s">
        <v>32</v>
      </c>
      <c r="D3" s="90"/>
      <c r="E3" s="89" t="s">
        <v>36</v>
      </c>
      <c r="F3" s="90"/>
      <c r="G3" s="91" t="s">
        <v>41</v>
      </c>
      <c r="H3" s="83"/>
      <c r="I3" s="85"/>
      <c r="J3" s="49"/>
      <c r="K3" s="2"/>
      <c r="L3" s="2"/>
      <c r="M3" s="35"/>
      <c r="N3" s="2"/>
      <c r="O3" s="2"/>
      <c r="P3" s="2"/>
      <c r="Q3" s="2"/>
      <c r="R3" s="2"/>
      <c r="S3" s="2"/>
      <c r="T3" s="2"/>
      <c r="U3" s="2"/>
      <c r="V3" s="2"/>
    </row>
    <row r="4" spans="1:26" ht="18.75" thickBot="1" x14ac:dyDescent="0.3">
      <c r="A4" s="44" t="s">
        <v>24</v>
      </c>
      <c r="B4" s="45" t="s">
        <v>23</v>
      </c>
      <c r="C4" s="46" t="s">
        <v>34</v>
      </c>
      <c r="D4" s="47" t="s">
        <v>39</v>
      </c>
      <c r="E4" s="46" t="s">
        <v>37</v>
      </c>
      <c r="F4" s="47" t="s">
        <v>33</v>
      </c>
      <c r="G4" s="46" t="s">
        <v>31</v>
      </c>
      <c r="H4" s="45" t="s">
        <v>33</v>
      </c>
      <c r="I4" s="45" t="s">
        <v>48</v>
      </c>
      <c r="J4" s="50"/>
      <c r="K4" s="2"/>
      <c r="L4" s="2"/>
      <c r="M4" s="35"/>
      <c r="N4" s="2"/>
      <c r="O4" s="2"/>
      <c r="P4" s="2"/>
      <c r="Q4" s="2"/>
      <c r="R4" s="2"/>
      <c r="S4" s="2"/>
      <c r="T4" s="2"/>
      <c r="U4" s="2"/>
      <c r="V4" s="2"/>
    </row>
    <row r="5" spans="1:26" ht="15.75" x14ac:dyDescent="0.25">
      <c r="A5" s="37">
        <v>2019</v>
      </c>
      <c r="B5" s="34" t="s">
        <v>40</v>
      </c>
      <c r="C5" s="41">
        <v>21550</v>
      </c>
      <c r="D5" s="5">
        <f>SUM(C5*3)</f>
        <v>64650</v>
      </c>
      <c r="E5" s="41">
        <v>21550</v>
      </c>
      <c r="F5" s="5">
        <f>SUM(E5*3)</f>
        <v>64650</v>
      </c>
      <c r="G5" s="2"/>
      <c r="H5" s="2"/>
      <c r="I5" s="2"/>
      <c r="J5" s="2"/>
      <c r="K5" s="2"/>
      <c r="L5" s="2"/>
      <c r="M5" s="35"/>
      <c r="N5" s="2"/>
      <c r="O5" s="2"/>
      <c r="P5" s="2"/>
      <c r="Q5" s="2"/>
      <c r="R5" s="2"/>
      <c r="S5" s="2"/>
      <c r="T5" s="2"/>
      <c r="U5" s="2"/>
      <c r="V5" s="2"/>
    </row>
    <row r="6" spans="1:26" ht="15.75" x14ac:dyDescent="0.25">
      <c r="A6" s="37">
        <v>2024</v>
      </c>
      <c r="B6" s="34">
        <v>1</v>
      </c>
      <c r="C6" s="42">
        <f>SUM(C5*1.051)</f>
        <v>22649.05</v>
      </c>
      <c r="D6" s="43">
        <f>SUM(C6*3)</f>
        <v>67947.149999999994</v>
      </c>
      <c r="E6" s="42">
        <v>23456.63</v>
      </c>
      <c r="F6" s="43">
        <f t="shared" ref="F6:F7" si="0">SUM(E6*3)</f>
        <v>70369.89</v>
      </c>
      <c r="G6" s="35">
        <f>SUM(E6-C6)</f>
        <v>807.58000000000175</v>
      </c>
      <c r="H6" s="35">
        <f>SUM(F6-D6)</f>
        <v>2422.7400000000052</v>
      </c>
      <c r="I6" s="53">
        <f>SUM(H6/F6)</f>
        <v>3.442864554712257E-2</v>
      </c>
      <c r="J6" s="48"/>
      <c r="K6" s="2"/>
      <c r="L6" s="2"/>
      <c r="M6" s="35"/>
      <c r="N6" s="2"/>
      <c r="O6" s="2"/>
      <c r="P6" s="2"/>
      <c r="Q6" s="2"/>
      <c r="R6" s="2"/>
      <c r="S6" s="2"/>
      <c r="T6" s="2"/>
      <c r="U6" s="2"/>
      <c r="V6" s="2"/>
      <c r="W6" s="35"/>
    </row>
    <row r="7" spans="1:26" ht="15.75" x14ac:dyDescent="0.25">
      <c r="A7" s="37">
        <v>2043</v>
      </c>
      <c r="B7" s="34">
        <v>20</v>
      </c>
      <c r="C7" s="42">
        <v>27362.52</v>
      </c>
      <c r="D7" s="43">
        <f t="shared" ref="D7" si="1">SUM(C7*3)</f>
        <v>82087.56</v>
      </c>
      <c r="E7" s="42">
        <v>32372.41</v>
      </c>
      <c r="F7" s="43">
        <f t="shared" si="0"/>
        <v>97117.23</v>
      </c>
      <c r="G7" s="35">
        <f t="shared" ref="G7" si="2">SUM(E7-C7)</f>
        <v>5009.8899999999994</v>
      </c>
      <c r="H7" s="35">
        <f>SUM(F7-D7)</f>
        <v>15029.669999999998</v>
      </c>
      <c r="I7" s="53">
        <f>SUM(H7/F7)</f>
        <v>0.15475801770705361</v>
      </c>
      <c r="J7" s="4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6" ht="16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6" ht="15.75" x14ac:dyDescent="0.25">
      <c r="A9" s="86" t="s">
        <v>35</v>
      </c>
      <c r="B9" s="87"/>
      <c r="C9" s="87"/>
      <c r="D9" s="87"/>
      <c r="E9" s="87"/>
      <c r="F9" s="87"/>
      <c r="G9" s="87"/>
      <c r="H9" s="87"/>
      <c r="I9" s="8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6" ht="15.75" x14ac:dyDescent="0.25">
      <c r="A10" s="86" t="s">
        <v>38</v>
      </c>
      <c r="B10" s="87"/>
      <c r="C10" s="87"/>
      <c r="D10" s="87"/>
      <c r="E10" s="87"/>
      <c r="F10" s="87"/>
      <c r="G10" s="87"/>
      <c r="H10" s="87"/>
      <c r="I10" s="8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6" ht="15.75" x14ac:dyDescent="0.25">
      <c r="A11" s="86" t="s">
        <v>49</v>
      </c>
      <c r="B11" s="87"/>
      <c r="C11" s="87"/>
      <c r="D11" s="87"/>
      <c r="E11" s="87"/>
      <c r="F11" s="87"/>
      <c r="G11" s="87"/>
      <c r="H11" s="87"/>
      <c r="I11" s="8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6" ht="15.75" x14ac:dyDescent="0.25">
      <c r="A12" s="86" t="s">
        <v>50</v>
      </c>
      <c r="B12" s="87"/>
      <c r="C12" s="87"/>
      <c r="D12" s="87"/>
      <c r="E12" s="87"/>
      <c r="F12" s="87"/>
      <c r="G12" s="87"/>
      <c r="H12" s="87"/>
      <c r="I12" s="8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6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X13" s="2"/>
      <c r="Y13" s="2"/>
      <c r="Z13" s="2"/>
    </row>
    <row r="14" spans="1:26" ht="16.5" thickBot="1" x14ac:dyDescent="0.3">
      <c r="A14" s="79" t="s">
        <v>43</v>
      </c>
      <c r="B14" s="80"/>
      <c r="C14" s="80"/>
      <c r="D14" s="80"/>
      <c r="E14" s="80"/>
      <c r="F14" s="80"/>
      <c r="G14" s="80"/>
      <c r="H14" s="80"/>
      <c r="I14" s="80"/>
      <c r="J14" s="2"/>
      <c r="K14" s="79" t="s">
        <v>42</v>
      </c>
      <c r="L14" s="80"/>
      <c r="M14" s="80"/>
      <c r="N14" s="80"/>
      <c r="O14" s="80"/>
      <c r="P14" s="80"/>
      <c r="Q14" s="80"/>
      <c r="R14" s="2"/>
      <c r="S14" s="79" t="s">
        <v>47</v>
      </c>
      <c r="T14" s="80"/>
      <c r="U14" s="80"/>
      <c r="V14" s="80"/>
      <c r="W14" s="80"/>
      <c r="X14" s="80"/>
      <c r="Y14" s="87"/>
      <c r="Z14" s="2"/>
    </row>
    <row r="15" spans="1:26" ht="15.75" customHeight="1" x14ac:dyDescent="0.25">
      <c r="A15" s="51"/>
      <c r="B15" s="52"/>
      <c r="C15" s="88" t="s">
        <v>32</v>
      </c>
      <c r="D15" s="88"/>
      <c r="E15" s="89" t="s">
        <v>36</v>
      </c>
      <c r="F15" s="90"/>
      <c r="G15" s="83" t="s">
        <v>41</v>
      </c>
      <c r="H15" s="84"/>
      <c r="I15" s="85"/>
      <c r="J15" s="2"/>
      <c r="K15" s="88" t="s">
        <v>32</v>
      </c>
      <c r="L15" s="88"/>
      <c r="M15" s="89" t="s">
        <v>36</v>
      </c>
      <c r="N15" s="90"/>
      <c r="O15" s="91" t="s">
        <v>41</v>
      </c>
      <c r="P15" s="84"/>
      <c r="Q15" s="84"/>
      <c r="R15" s="2"/>
      <c r="S15" s="88" t="s">
        <v>32</v>
      </c>
      <c r="T15" s="88"/>
      <c r="U15" s="89" t="s">
        <v>36</v>
      </c>
      <c r="V15" s="90"/>
      <c r="W15" s="83" t="s">
        <v>41</v>
      </c>
      <c r="X15" s="84"/>
      <c r="Y15" s="85"/>
      <c r="Z15" s="2"/>
    </row>
    <row r="16" spans="1:26" ht="18.75" thickBot="1" x14ac:dyDescent="0.3">
      <c r="A16" s="44" t="s">
        <v>24</v>
      </c>
      <c r="B16" s="47" t="s">
        <v>23</v>
      </c>
      <c r="C16" s="45" t="s">
        <v>34</v>
      </c>
      <c r="D16" s="45" t="s">
        <v>39</v>
      </c>
      <c r="E16" s="46" t="s">
        <v>37</v>
      </c>
      <c r="F16" s="47" t="s">
        <v>33</v>
      </c>
      <c r="G16" s="45" t="s">
        <v>31</v>
      </c>
      <c r="H16" s="45" t="s">
        <v>33</v>
      </c>
      <c r="I16" s="44" t="s">
        <v>48</v>
      </c>
      <c r="J16" s="2"/>
      <c r="K16" s="45" t="s">
        <v>34</v>
      </c>
      <c r="L16" s="45" t="s">
        <v>39</v>
      </c>
      <c r="M16" s="46" t="s">
        <v>37</v>
      </c>
      <c r="N16" s="47" t="s">
        <v>33</v>
      </c>
      <c r="O16" s="45" t="s">
        <v>31</v>
      </c>
      <c r="P16" s="45" t="s">
        <v>33</v>
      </c>
      <c r="Q16" s="44" t="s">
        <v>48</v>
      </c>
      <c r="R16" s="2"/>
      <c r="S16" s="45" t="s">
        <v>34</v>
      </c>
      <c r="T16" s="45" t="s">
        <v>39</v>
      </c>
      <c r="U16" s="46" t="s">
        <v>37</v>
      </c>
      <c r="V16" s="47" t="s">
        <v>33</v>
      </c>
      <c r="W16" s="45" t="s">
        <v>31</v>
      </c>
      <c r="X16" s="45" t="s">
        <v>33</v>
      </c>
      <c r="Y16" s="44" t="s">
        <v>48</v>
      </c>
    </row>
    <row r="17" spans="1:25" ht="19.5" customHeight="1" x14ac:dyDescent="0.25">
      <c r="A17" s="37">
        <v>2019</v>
      </c>
      <c r="B17" s="40" t="s">
        <v>40</v>
      </c>
      <c r="C17" s="2">
        <v>19100</v>
      </c>
      <c r="D17" s="2">
        <f>SUM(C17*3)</f>
        <v>57300</v>
      </c>
      <c r="E17" s="41">
        <v>19100</v>
      </c>
      <c r="F17" s="5">
        <f>SUM(E17*3)</f>
        <v>57300</v>
      </c>
      <c r="G17" s="2"/>
      <c r="H17" s="2"/>
      <c r="I17" s="2"/>
      <c r="J17" s="2"/>
      <c r="K17" s="2">
        <v>24000</v>
      </c>
      <c r="L17" s="2">
        <f>SUM(K17*0.8)</f>
        <v>19200</v>
      </c>
      <c r="M17" s="41">
        <v>24000</v>
      </c>
      <c r="N17" s="5">
        <f>SUM(M17*0.8)</f>
        <v>19200</v>
      </c>
      <c r="O17" s="2"/>
      <c r="P17" s="2"/>
      <c r="Q17" s="2"/>
      <c r="R17" s="2"/>
      <c r="S17" s="2">
        <v>21550</v>
      </c>
      <c r="T17" s="2">
        <f>SUM($S$17*3)</f>
        <v>64650</v>
      </c>
      <c r="U17" s="41">
        <v>21550</v>
      </c>
      <c r="V17" s="5">
        <f>SUM($U$17*3)</f>
        <v>64650</v>
      </c>
      <c r="W17" s="2"/>
      <c r="X17" s="2"/>
      <c r="Y17" s="2"/>
    </row>
    <row r="18" spans="1:25" ht="15.75" x14ac:dyDescent="0.25">
      <c r="A18" s="37">
        <v>2024</v>
      </c>
      <c r="B18" s="40">
        <v>1</v>
      </c>
      <c r="C18" s="35">
        <f>SUM(C17*1.051)</f>
        <v>20074.099999999999</v>
      </c>
      <c r="D18" s="35">
        <f>SUM(C18*2.2)</f>
        <v>44163.02</v>
      </c>
      <c r="E18" s="42">
        <v>20789.86</v>
      </c>
      <c r="F18" s="43">
        <f>SUM(E18*2.2)</f>
        <v>45737.692000000003</v>
      </c>
      <c r="G18" s="35">
        <f>SUM(E18-C18)</f>
        <v>715.76000000000204</v>
      </c>
      <c r="H18" s="35">
        <f>SUM(F18-D18)</f>
        <v>1574.6720000000059</v>
      </c>
      <c r="I18" s="48">
        <f>SUM(H18/F18)</f>
        <v>3.4428322268644555E-2</v>
      </c>
      <c r="J18" s="2"/>
      <c r="K18" s="35">
        <f>SUM(K17*1.051)</f>
        <v>25224</v>
      </c>
      <c r="L18" s="35">
        <f>SUM(K18*0.8)</f>
        <v>20179.2</v>
      </c>
      <c r="M18" s="42">
        <v>26123.39</v>
      </c>
      <c r="N18" s="43">
        <f>SUM(M18*0.8)</f>
        <v>20898.712</v>
      </c>
      <c r="O18" s="35">
        <f>SUM(M18-K18)</f>
        <v>899.38999999999942</v>
      </c>
      <c r="P18" s="35">
        <f>SUM(N18-L18)</f>
        <v>719.51199999999881</v>
      </c>
      <c r="Q18" s="48">
        <f>SUM(P18/N18)</f>
        <v>3.4428533203385875E-2</v>
      </c>
      <c r="R18" s="2"/>
      <c r="S18" s="35">
        <f>SUM(S17*1.051)</f>
        <v>22649.05</v>
      </c>
      <c r="T18" s="35">
        <f>SUM($S$18*3)</f>
        <v>67947.149999999994</v>
      </c>
      <c r="U18" s="42">
        <v>23456.63</v>
      </c>
      <c r="V18" s="43">
        <f>SUM($U$18*3)</f>
        <v>70369.89</v>
      </c>
      <c r="W18" s="35">
        <f>SUM(U18-S18)</f>
        <v>807.58000000000175</v>
      </c>
      <c r="X18" s="35">
        <f>SUM(V18-T18)</f>
        <v>2422.7400000000052</v>
      </c>
      <c r="Y18" s="48">
        <f>SUM(X18/V18)</f>
        <v>3.442864554712257E-2</v>
      </c>
    </row>
    <row r="19" spans="1:25" ht="15.75" x14ac:dyDescent="0.25">
      <c r="A19" s="37">
        <v>2025</v>
      </c>
      <c r="B19" s="40">
        <v>2</v>
      </c>
      <c r="C19" s="35">
        <f>SUM(C18*1.01)</f>
        <v>20274.841</v>
      </c>
      <c r="D19" s="35">
        <f t="shared" ref="D19:D37" si="3">SUM(C19*2.2)</f>
        <v>44604.650200000004</v>
      </c>
      <c r="E19" s="42">
        <f>SUM(E18*1.0171)</f>
        <v>21145.366606</v>
      </c>
      <c r="F19" s="43">
        <f t="shared" ref="F19:F37" si="4">SUM(E19*2.2)</f>
        <v>46519.806533200004</v>
      </c>
      <c r="G19" s="35">
        <f t="shared" ref="G19:G37" si="5">SUM(E19-C19)</f>
        <v>870.52560599999924</v>
      </c>
      <c r="H19" s="35">
        <f t="shared" ref="H19:H37" si="6">SUM(F19-D19)</f>
        <v>1915.1563332000005</v>
      </c>
      <c r="I19" s="48">
        <f t="shared" ref="I19:I37" si="7">SUM(H19/F19)</f>
        <v>4.116862205420399E-2</v>
      </c>
      <c r="J19" s="2"/>
      <c r="K19" s="35">
        <f>SUM(K18*1.01)</f>
        <v>25476.240000000002</v>
      </c>
      <c r="L19" s="35">
        <f t="shared" ref="L19:L37" si="8">SUM(K19*0.8)</f>
        <v>20380.992000000002</v>
      </c>
      <c r="M19" s="42">
        <f>SUM(M18*1.0171)</f>
        <v>26570.099968999995</v>
      </c>
      <c r="N19" s="43">
        <f t="shared" ref="N19:N37" si="9">SUM(M19*0.8)</f>
        <v>21256.079975199998</v>
      </c>
      <c r="O19" s="35">
        <f t="shared" ref="O19:O37" si="10">SUM(M19-K19)</f>
        <v>1093.8599689999937</v>
      </c>
      <c r="P19" s="35">
        <f t="shared" ref="P19:P37" si="11">SUM(N19-L19)</f>
        <v>875.08797519999644</v>
      </c>
      <c r="Q19" s="48">
        <f>SUM(P19/N19)</f>
        <v>4.1168831516487682E-2</v>
      </c>
      <c r="R19" s="2"/>
      <c r="S19" s="35">
        <f>SUM(S18*1.01)</f>
        <v>22875.540499999999</v>
      </c>
      <c r="T19" s="35">
        <f>SUM($S$19*3)</f>
        <v>68626.621499999994</v>
      </c>
      <c r="U19" s="42">
        <f>SUM(U18*1.0171)</f>
        <v>23857.738373</v>
      </c>
      <c r="V19" s="43">
        <f>SUM($U$19*3)</f>
        <v>71573.215119</v>
      </c>
      <c r="W19" s="35">
        <f t="shared" ref="W19:W37" si="12">SUM(U19-S19)</f>
        <v>982.19787300000098</v>
      </c>
      <c r="X19" s="35">
        <f t="shared" ref="X19:X37" si="13">SUM(V19-T19)</f>
        <v>2946.5936190000066</v>
      </c>
      <c r="Y19" s="48">
        <f>SUM(X19/V19)</f>
        <v>4.1168943075994315E-2</v>
      </c>
    </row>
    <row r="20" spans="1:25" ht="15.75" x14ac:dyDescent="0.25">
      <c r="A20" s="37">
        <v>2026</v>
      </c>
      <c r="B20" s="40">
        <v>3</v>
      </c>
      <c r="C20" s="35">
        <f t="shared" ref="C20:C37" si="14">SUM(C19*1.01)</f>
        <v>20477.58941</v>
      </c>
      <c r="D20" s="35">
        <f t="shared" si="3"/>
        <v>45050.696702000001</v>
      </c>
      <c r="E20" s="42">
        <f t="shared" ref="E20:E37" si="15">SUM(E19*1.0171)</f>
        <v>21506.952374962599</v>
      </c>
      <c r="F20" s="43">
        <f t="shared" si="4"/>
        <v>47315.295224917718</v>
      </c>
      <c r="G20" s="35">
        <f t="shared" si="5"/>
        <v>1029.3629649625982</v>
      </c>
      <c r="H20" s="35">
        <f t="shared" si="6"/>
        <v>2264.5985229177168</v>
      </c>
      <c r="I20" s="48">
        <f t="shared" si="7"/>
        <v>4.7861870292740097E-2</v>
      </c>
      <c r="J20" s="2"/>
      <c r="K20" s="35">
        <f t="shared" ref="K20:K37" si="16">SUM(K19*1.01)</f>
        <v>25731.002400000001</v>
      </c>
      <c r="L20" s="35">
        <f t="shared" si="8"/>
        <v>20584.801920000002</v>
      </c>
      <c r="M20" s="42">
        <f t="shared" ref="M20:M37" si="17">SUM(M19*1.0171)</f>
        <v>27024.448678469893</v>
      </c>
      <c r="N20" s="43">
        <f t="shared" si="9"/>
        <v>21619.558942775915</v>
      </c>
      <c r="O20" s="35">
        <f t="shared" si="10"/>
        <v>1293.4462784698917</v>
      </c>
      <c r="P20" s="35">
        <f t="shared" si="11"/>
        <v>1034.7570227759134</v>
      </c>
      <c r="Q20" s="48">
        <f t="shared" ref="Q20:Q37" si="18">SUM(P20/N20)</f>
        <v>4.7862078292844779E-2</v>
      </c>
      <c r="R20" s="2"/>
      <c r="S20" s="35">
        <f t="shared" ref="S20:S37" si="19">SUM(S19*1.01)</f>
        <v>23104.295904999999</v>
      </c>
      <c r="T20" s="35">
        <f>SUM($S$20*3)</f>
        <v>69312.88771499999</v>
      </c>
      <c r="U20" s="42">
        <f t="shared" ref="U20:U37" si="20">SUM(U19*1.0171)</f>
        <v>24265.705699178299</v>
      </c>
      <c r="V20" s="43">
        <f>SUM($U$20*3)</f>
        <v>72797.117097534894</v>
      </c>
      <c r="W20" s="35">
        <f t="shared" si="12"/>
        <v>1161.4097941783002</v>
      </c>
      <c r="X20" s="35">
        <f t="shared" si="13"/>
        <v>3484.2293825349043</v>
      </c>
      <c r="Y20" s="48">
        <f t="shared" ref="Y20:Y37" si="21">SUM(X20/V20)</f>
        <v>4.786218907359574E-2</v>
      </c>
    </row>
    <row r="21" spans="1:25" ht="15.75" x14ac:dyDescent="0.25">
      <c r="A21" s="37">
        <v>2027</v>
      </c>
      <c r="B21" s="40">
        <v>4</v>
      </c>
      <c r="C21" s="35">
        <f t="shared" si="14"/>
        <v>20682.3653041</v>
      </c>
      <c r="D21" s="35">
        <f t="shared" si="3"/>
        <v>45501.203669020004</v>
      </c>
      <c r="E21" s="42">
        <f t="shared" si="15"/>
        <v>21874.721260574457</v>
      </c>
      <c r="F21" s="43">
        <f t="shared" si="4"/>
        <v>48124.38677326381</v>
      </c>
      <c r="G21" s="35">
        <f t="shared" si="5"/>
        <v>1192.3559564744573</v>
      </c>
      <c r="H21" s="35">
        <f t="shared" si="6"/>
        <v>2623.1831042438062</v>
      </c>
      <c r="I21" s="48">
        <f t="shared" si="7"/>
        <v>5.4508395433750294E-2</v>
      </c>
      <c r="J21" s="2"/>
      <c r="K21" s="35">
        <f t="shared" si="16"/>
        <v>25988.312424</v>
      </c>
      <c r="L21" s="35">
        <f t="shared" si="8"/>
        <v>20790.649939200001</v>
      </c>
      <c r="M21" s="42">
        <f t="shared" si="17"/>
        <v>27486.566750871727</v>
      </c>
      <c r="N21" s="43">
        <f t="shared" si="9"/>
        <v>21989.253400697384</v>
      </c>
      <c r="O21" s="35">
        <f t="shared" si="10"/>
        <v>1498.2543268717272</v>
      </c>
      <c r="P21" s="35">
        <f t="shared" si="11"/>
        <v>1198.6034614973833</v>
      </c>
      <c r="Q21" s="48">
        <f t="shared" si="18"/>
        <v>5.4508601981883106E-2</v>
      </c>
      <c r="R21" s="2"/>
      <c r="S21" s="35">
        <f t="shared" si="19"/>
        <v>23335.338864049998</v>
      </c>
      <c r="T21" s="35">
        <f>SUM($S$21*3)</f>
        <v>70006.016592150001</v>
      </c>
      <c r="U21" s="42">
        <f t="shared" si="20"/>
        <v>24680.649266634246</v>
      </c>
      <c r="V21" s="43">
        <f>SUM($U$21*3)</f>
        <v>74041.947799902729</v>
      </c>
      <c r="W21" s="35">
        <f t="shared" si="12"/>
        <v>1345.3104025842476</v>
      </c>
      <c r="X21" s="35">
        <f t="shared" si="13"/>
        <v>4035.9312077527284</v>
      </c>
      <c r="Y21" s="48">
        <f t="shared" si="21"/>
        <v>5.4508711989314125E-2</v>
      </c>
    </row>
    <row r="22" spans="1:25" ht="15.75" x14ac:dyDescent="0.25">
      <c r="A22" s="37">
        <v>2028</v>
      </c>
      <c r="B22" s="40">
        <v>5</v>
      </c>
      <c r="C22" s="35">
        <f t="shared" si="14"/>
        <v>20889.188957140999</v>
      </c>
      <c r="D22" s="35">
        <f t="shared" si="3"/>
        <v>45956.215705710201</v>
      </c>
      <c r="E22" s="42">
        <f t="shared" si="15"/>
        <v>22248.778994130276</v>
      </c>
      <c r="F22" s="43">
        <f t="shared" si="4"/>
        <v>48947.313787086612</v>
      </c>
      <c r="G22" s="35">
        <f t="shared" si="5"/>
        <v>1359.590036989277</v>
      </c>
      <c r="H22" s="35">
        <f t="shared" si="6"/>
        <v>2991.0980813764108</v>
      </c>
      <c r="I22" s="48">
        <f t="shared" si="7"/>
        <v>6.1108523633947177E-2</v>
      </c>
      <c r="J22" s="2"/>
      <c r="K22" s="35">
        <f t="shared" si="16"/>
        <v>26248.195548240001</v>
      </c>
      <c r="L22" s="35">
        <f t="shared" si="8"/>
        <v>20998.556438592001</v>
      </c>
      <c r="M22" s="42">
        <f t="shared" si="17"/>
        <v>27956.587042311632</v>
      </c>
      <c r="N22" s="43">
        <f t="shared" si="9"/>
        <v>22365.269633849308</v>
      </c>
      <c r="O22" s="35">
        <f t="shared" si="10"/>
        <v>1708.3914940716313</v>
      </c>
      <c r="P22" s="35">
        <f t="shared" si="11"/>
        <v>1366.7131952573072</v>
      </c>
      <c r="Q22" s="48">
        <f t="shared" si="18"/>
        <v>6.1108728740243715E-2</v>
      </c>
      <c r="R22" s="2"/>
      <c r="S22" s="35">
        <f t="shared" si="19"/>
        <v>23568.692252690496</v>
      </c>
      <c r="T22" s="35">
        <f>SUM($S$22*3)</f>
        <v>70706.076758071489</v>
      </c>
      <c r="U22" s="42">
        <f t="shared" si="20"/>
        <v>25102.688369093688</v>
      </c>
      <c r="V22" s="43">
        <f>SUM($U$22*3)</f>
        <v>75308.065107281058</v>
      </c>
      <c r="W22" s="35">
        <f t="shared" si="12"/>
        <v>1533.996116403192</v>
      </c>
      <c r="X22" s="35">
        <f t="shared" si="13"/>
        <v>4601.9883492095687</v>
      </c>
      <c r="Y22" s="48">
        <f t="shared" si="21"/>
        <v>6.1108837979753534E-2</v>
      </c>
    </row>
    <row r="23" spans="1:25" ht="15.75" x14ac:dyDescent="0.25">
      <c r="A23" s="37">
        <v>2029</v>
      </c>
      <c r="B23" s="40">
        <v>6</v>
      </c>
      <c r="C23" s="35">
        <f t="shared" si="14"/>
        <v>21098.080846712408</v>
      </c>
      <c r="D23" s="35">
        <f t="shared" si="3"/>
        <v>46415.777862767303</v>
      </c>
      <c r="E23" s="42">
        <f t="shared" si="15"/>
        <v>22629.233114929903</v>
      </c>
      <c r="F23" s="43">
        <f t="shared" si="4"/>
        <v>49784.312852845789</v>
      </c>
      <c r="G23" s="35">
        <f t="shared" si="5"/>
        <v>1531.1522682174946</v>
      </c>
      <c r="H23" s="35">
        <f t="shared" si="6"/>
        <v>3368.5349900784859</v>
      </c>
      <c r="I23" s="48">
        <f t="shared" si="7"/>
        <v>6.766257877326376E-2</v>
      </c>
      <c r="J23" s="2"/>
      <c r="K23" s="35">
        <f t="shared" si="16"/>
        <v>26510.6775037224</v>
      </c>
      <c r="L23" s="35">
        <f t="shared" si="8"/>
        <v>21208.54200297792</v>
      </c>
      <c r="M23" s="42">
        <f t="shared" si="17"/>
        <v>28434.644680735157</v>
      </c>
      <c r="N23" s="43">
        <f t="shared" si="9"/>
        <v>22747.715744588128</v>
      </c>
      <c r="O23" s="35">
        <f t="shared" si="10"/>
        <v>1923.967177012757</v>
      </c>
      <c r="P23" s="35">
        <f t="shared" si="11"/>
        <v>1539.1737416102078</v>
      </c>
      <c r="Q23" s="48">
        <f t="shared" si="18"/>
        <v>6.7662782447788852E-2</v>
      </c>
      <c r="R23" s="2"/>
      <c r="S23" s="35">
        <f t="shared" si="19"/>
        <v>23804.3791752174</v>
      </c>
      <c r="T23" s="35">
        <f>SUM($S$23*3)</f>
        <v>71413.137525652201</v>
      </c>
      <c r="U23" s="42">
        <f t="shared" si="20"/>
        <v>25531.944340205187</v>
      </c>
      <c r="V23" s="43">
        <f>SUM($U$23*3)</f>
        <v>76595.833020615566</v>
      </c>
      <c r="W23" s="35">
        <f t="shared" si="12"/>
        <v>1727.5651649877873</v>
      </c>
      <c r="X23" s="35">
        <f t="shared" si="13"/>
        <v>5182.6954949633655</v>
      </c>
      <c r="Y23" s="48">
        <f t="shared" si="21"/>
        <v>6.7662890924738123E-2</v>
      </c>
    </row>
    <row r="24" spans="1:25" ht="15.75" x14ac:dyDescent="0.25">
      <c r="A24" s="37">
        <v>2030</v>
      </c>
      <c r="B24" s="40">
        <v>7</v>
      </c>
      <c r="C24" s="35">
        <f t="shared" si="14"/>
        <v>21309.061655179532</v>
      </c>
      <c r="D24" s="35">
        <f t="shared" si="3"/>
        <v>46879.935641394972</v>
      </c>
      <c r="E24" s="42">
        <f t="shared" si="15"/>
        <v>23016.193001195203</v>
      </c>
      <c r="F24" s="43">
        <f t="shared" si="4"/>
        <v>50635.624602629447</v>
      </c>
      <c r="G24" s="35">
        <f t="shared" si="5"/>
        <v>1707.1313460156707</v>
      </c>
      <c r="H24" s="35">
        <f t="shared" si="6"/>
        <v>3755.6889612344748</v>
      </c>
      <c r="I24" s="48">
        <f t="shared" si="7"/>
        <v>7.417088247074663E-2</v>
      </c>
      <c r="J24" s="2"/>
      <c r="K24" s="35">
        <f t="shared" si="16"/>
        <v>26775.784278759624</v>
      </c>
      <c r="L24" s="35">
        <f t="shared" si="8"/>
        <v>21420.6274230077</v>
      </c>
      <c r="M24" s="42">
        <f t="shared" si="17"/>
        <v>28920.877104775725</v>
      </c>
      <c r="N24" s="43">
        <f t="shared" si="9"/>
        <v>23136.701683820582</v>
      </c>
      <c r="O24" s="35">
        <f t="shared" si="10"/>
        <v>2145.0928260161018</v>
      </c>
      <c r="P24" s="35">
        <f t="shared" si="11"/>
        <v>1716.0742608128821</v>
      </c>
      <c r="Q24" s="48">
        <f t="shared" si="18"/>
        <v>7.4171084723494846E-2</v>
      </c>
      <c r="R24" s="2"/>
      <c r="S24" s="35">
        <f t="shared" si="19"/>
        <v>24042.422966969574</v>
      </c>
      <c r="T24" s="35">
        <f>SUM($S$24*3)</f>
        <v>72127.268900908719</v>
      </c>
      <c r="U24" s="42">
        <f t="shared" si="20"/>
        <v>25968.540588422693</v>
      </c>
      <c r="V24" s="43">
        <f>SUM($U$24*3)</f>
        <v>77905.621765268079</v>
      </c>
      <c r="W24" s="35">
        <f t="shared" si="12"/>
        <v>1926.1176214531188</v>
      </c>
      <c r="X24" s="35">
        <f t="shared" si="13"/>
        <v>5778.35286435936</v>
      </c>
      <c r="Y24" s="48">
        <f t="shared" si="21"/>
        <v>7.4171192443206552E-2</v>
      </c>
    </row>
    <row r="25" spans="1:25" ht="15.75" x14ac:dyDescent="0.25">
      <c r="A25" s="37">
        <v>2031</v>
      </c>
      <c r="B25" s="40">
        <v>8</v>
      </c>
      <c r="C25" s="35">
        <f t="shared" si="14"/>
        <v>21522.152271731327</v>
      </c>
      <c r="D25" s="35">
        <f t="shared" si="3"/>
        <v>47348.734997808926</v>
      </c>
      <c r="E25" s="42">
        <f t="shared" si="15"/>
        <v>23409.76990151564</v>
      </c>
      <c r="F25" s="43">
        <f t="shared" si="4"/>
        <v>51501.493783334408</v>
      </c>
      <c r="G25" s="35">
        <f t="shared" si="5"/>
        <v>1887.6176297843122</v>
      </c>
      <c r="H25" s="35">
        <f t="shared" si="6"/>
        <v>4152.7587855254824</v>
      </c>
      <c r="I25" s="48">
        <f t="shared" si="7"/>
        <v>8.0633754100338184E-2</v>
      </c>
      <c r="J25" s="2"/>
      <c r="K25" s="35">
        <f t="shared" si="16"/>
        <v>27043.54212154722</v>
      </c>
      <c r="L25" s="35">
        <f t="shared" si="8"/>
        <v>21634.833697237777</v>
      </c>
      <c r="M25" s="42">
        <f t="shared" si="17"/>
        <v>29415.424103267389</v>
      </c>
      <c r="N25" s="43">
        <f t="shared" si="9"/>
        <v>23532.339282613913</v>
      </c>
      <c r="O25" s="35">
        <f t="shared" si="10"/>
        <v>2371.8819817201693</v>
      </c>
      <c r="P25" s="35">
        <f t="shared" si="11"/>
        <v>1897.5055853761369</v>
      </c>
      <c r="Q25" s="48">
        <f t="shared" si="18"/>
        <v>8.0633954941234667E-2</v>
      </c>
      <c r="R25" s="2"/>
      <c r="S25" s="35">
        <f t="shared" si="19"/>
        <v>24282.847196639272</v>
      </c>
      <c r="T25" s="35">
        <f>SUM($S$25*3)</f>
        <v>72848.541589917819</v>
      </c>
      <c r="U25" s="42">
        <f t="shared" si="20"/>
        <v>26412.602632484719</v>
      </c>
      <c r="V25" s="43">
        <f>SUM($U$25*3)</f>
        <v>79237.807897454157</v>
      </c>
      <c r="W25" s="35">
        <f t="shared" si="12"/>
        <v>2129.7554358454472</v>
      </c>
      <c r="X25" s="35">
        <f t="shared" si="13"/>
        <v>6389.266307536338</v>
      </c>
      <c r="Y25" s="48">
        <f t="shared" si="21"/>
        <v>8.0634061908994581E-2</v>
      </c>
    </row>
    <row r="26" spans="1:25" ht="15.75" x14ac:dyDescent="0.25">
      <c r="A26" s="37">
        <v>2032</v>
      </c>
      <c r="B26" s="40">
        <v>9</v>
      </c>
      <c r="C26" s="35">
        <f t="shared" si="14"/>
        <v>21737.373794448642</v>
      </c>
      <c r="D26" s="35">
        <f t="shared" si="3"/>
        <v>47822.222347787014</v>
      </c>
      <c r="E26" s="42">
        <f t="shared" si="15"/>
        <v>23810.076966831555</v>
      </c>
      <c r="F26" s="43">
        <f t="shared" si="4"/>
        <v>52382.169327029427</v>
      </c>
      <c r="G26" s="35">
        <f t="shared" si="5"/>
        <v>2072.7031723829132</v>
      </c>
      <c r="H26" s="35">
        <f t="shared" si="6"/>
        <v>4559.9469792424134</v>
      </c>
      <c r="I26" s="48">
        <f t="shared" si="7"/>
        <v>8.7051510806549603E-2</v>
      </c>
      <c r="J26" s="2"/>
      <c r="K26" s="35">
        <f t="shared" si="16"/>
        <v>27313.977542762692</v>
      </c>
      <c r="L26" s="35">
        <f t="shared" si="8"/>
        <v>21851.182034210156</v>
      </c>
      <c r="M26" s="42">
        <f t="shared" si="17"/>
        <v>29918.42785543326</v>
      </c>
      <c r="N26" s="43">
        <f t="shared" si="9"/>
        <v>23934.742284346608</v>
      </c>
      <c r="O26" s="35">
        <f t="shared" si="10"/>
        <v>2604.4503126705677</v>
      </c>
      <c r="P26" s="35">
        <f t="shared" si="11"/>
        <v>2083.5602501364519</v>
      </c>
      <c r="Q26" s="48">
        <f t="shared" si="18"/>
        <v>8.7051710245449623E-2</v>
      </c>
      <c r="R26" s="2"/>
      <c r="S26" s="35">
        <f t="shared" si="19"/>
        <v>24525.675668605665</v>
      </c>
      <c r="T26" s="35">
        <f>SUM($S$26*3)</f>
        <v>73577.027005816999</v>
      </c>
      <c r="U26" s="42">
        <f t="shared" si="20"/>
        <v>26864.258137500205</v>
      </c>
      <c r="V26" s="43">
        <f>SUM($U$26*3)</f>
        <v>80592.774412500614</v>
      </c>
      <c r="W26" s="35">
        <f t="shared" si="12"/>
        <v>2338.5824688945395</v>
      </c>
      <c r="X26" s="35">
        <f t="shared" si="13"/>
        <v>7015.7474066836148</v>
      </c>
      <c r="Y26" s="48">
        <f t="shared" si="21"/>
        <v>8.7051816466507129E-2</v>
      </c>
    </row>
    <row r="27" spans="1:25" ht="15.75" x14ac:dyDescent="0.25">
      <c r="A27" s="37">
        <v>2033</v>
      </c>
      <c r="B27" s="40">
        <v>10</v>
      </c>
      <c r="C27" s="35">
        <f t="shared" si="14"/>
        <v>21954.747532393128</v>
      </c>
      <c r="D27" s="35">
        <f t="shared" si="3"/>
        <v>48300.444571264889</v>
      </c>
      <c r="E27" s="42">
        <f t="shared" si="15"/>
        <v>24217.229282964374</v>
      </c>
      <c r="F27" s="43">
        <f t="shared" si="4"/>
        <v>53277.904422521628</v>
      </c>
      <c r="G27" s="35">
        <f t="shared" si="5"/>
        <v>2262.4817505712454</v>
      </c>
      <c r="H27" s="35">
        <f t="shared" si="6"/>
        <v>4977.4598512567391</v>
      </c>
      <c r="I27" s="48">
        <f t="shared" si="7"/>
        <v>9.3424467520022578E-2</v>
      </c>
      <c r="J27" s="2"/>
      <c r="K27" s="35">
        <f t="shared" si="16"/>
        <v>27587.117318190318</v>
      </c>
      <c r="L27" s="35">
        <f t="shared" si="8"/>
        <v>22069.693854552257</v>
      </c>
      <c r="M27" s="42">
        <f t="shared" si="17"/>
        <v>30430.032971761164</v>
      </c>
      <c r="N27" s="43">
        <f t="shared" si="9"/>
        <v>24344.026377408933</v>
      </c>
      <c r="O27" s="35">
        <f t="shared" si="10"/>
        <v>2842.9156535708462</v>
      </c>
      <c r="P27" s="35">
        <f t="shared" si="11"/>
        <v>2274.3325228566755</v>
      </c>
      <c r="Q27" s="48">
        <f t="shared" si="18"/>
        <v>9.342466556671325E-2</v>
      </c>
      <c r="R27" s="2"/>
      <c r="S27" s="35">
        <f t="shared" si="19"/>
        <v>24770.932425291721</v>
      </c>
      <c r="T27" s="35">
        <f>SUM($S$27*3)</f>
        <v>74312.797275875171</v>
      </c>
      <c r="U27" s="42">
        <f t="shared" si="20"/>
        <v>27323.636951651457</v>
      </c>
      <c r="V27" s="43">
        <f>SUM($U$27*3)</f>
        <v>81970.910854954374</v>
      </c>
      <c r="W27" s="35">
        <f t="shared" si="12"/>
        <v>2552.7045263597356</v>
      </c>
      <c r="X27" s="35">
        <f t="shared" si="13"/>
        <v>7658.1135790792032</v>
      </c>
      <c r="Y27" s="48">
        <f t="shared" si="21"/>
        <v>9.3424771046280761E-2</v>
      </c>
    </row>
    <row r="28" spans="1:25" ht="15.75" x14ac:dyDescent="0.25">
      <c r="A28" s="37">
        <v>2034</v>
      </c>
      <c r="B28" s="40">
        <v>11</v>
      </c>
      <c r="C28" s="35">
        <f t="shared" si="14"/>
        <v>22174.295007717061</v>
      </c>
      <c r="D28" s="35">
        <f t="shared" si="3"/>
        <v>48783.449016977538</v>
      </c>
      <c r="E28" s="42">
        <f t="shared" si="15"/>
        <v>24631.343903703062</v>
      </c>
      <c r="F28" s="43">
        <f t="shared" si="4"/>
        <v>54188.956588146742</v>
      </c>
      <c r="G28" s="35">
        <f t="shared" si="5"/>
        <v>2457.0488959860013</v>
      </c>
      <c r="H28" s="35">
        <f t="shared" si="6"/>
        <v>5405.5075711692043</v>
      </c>
      <c r="I28" s="48">
        <f t="shared" si="7"/>
        <v>9.9752936972984665E-2</v>
      </c>
      <c r="J28" s="2"/>
      <c r="K28" s="35">
        <f t="shared" si="16"/>
        <v>27862.98849137222</v>
      </c>
      <c r="L28" s="35">
        <f t="shared" si="8"/>
        <v>22290.390793097777</v>
      </c>
      <c r="M28" s="42">
        <f t="shared" si="17"/>
        <v>30950.386535578276</v>
      </c>
      <c r="N28" s="43">
        <f t="shared" si="9"/>
        <v>24760.309228462622</v>
      </c>
      <c r="O28" s="35">
        <f t="shared" si="10"/>
        <v>3087.3980442060565</v>
      </c>
      <c r="P28" s="35">
        <f t="shared" si="11"/>
        <v>2469.9184353648452</v>
      </c>
      <c r="Q28" s="48">
        <f t="shared" si="18"/>
        <v>9.9753133637184521E-2</v>
      </c>
      <c r="R28" s="2"/>
      <c r="S28" s="35">
        <f t="shared" si="19"/>
        <v>25018.64174954464</v>
      </c>
      <c r="T28" s="35">
        <f>SUM($S$28*3)</f>
        <v>75055.925248633925</v>
      </c>
      <c r="U28" s="42">
        <f t="shared" si="20"/>
        <v>27790.871143524695</v>
      </c>
      <c r="V28" s="43">
        <f>SUM($U$28*3)</f>
        <v>83372.613430574085</v>
      </c>
      <c r="W28" s="35">
        <f t="shared" si="12"/>
        <v>2772.2293939800547</v>
      </c>
      <c r="X28" s="35">
        <f t="shared" si="13"/>
        <v>8316.6881819401606</v>
      </c>
      <c r="Y28" s="48">
        <f t="shared" si="21"/>
        <v>9.9753238380437967E-2</v>
      </c>
    </row>
    <row r="29" spans="1:25" ht="15.75" x14ac:dyDescent="0.25">
      <c r="A29" s="37">
        <v>2035</v>
      </c>
      <c r="B29" s="40">
        <v>12</v>
      </c>
      <c r="C29" s="35">
        <f t="shared" si="14"/>
        <v>22396.037957794233</v>
      </c>
      <c r="D29" s="35">
        <f t="shared" si="3"/>
        <v>49271.283507147316</v>
      </c>
      <c r="E29" s="42">
        <f t="shared" si="15"/>
        <v>25052.539884456382</v>
      </c>
      <c r="F29" s="43">
        <f t="shared" si="4"/>
        <v>55115.587745804049</v>
      </c>
      <c r="G29" s="35">
        <f t="shared" si="5"/>
        <v>2656.5019266621493</v>
      </c>
      <c r="H29" s="35">
        <f t="shared" si="6"/>
        <v>5844.3042386567322</v>
      </c>
      <c r="I29" s="48">
        <f t="shared" si="7"/>
        <v>0.10603722971459484</v>
      </c>
      <c r="J29" s="2"/>
      <c r="K29" s="35">
        <f t="shared" si="16"/>
        <v>28141.618376285944</v>
      </c>
      <c r="L29" s="35">
        <f t="shared" si="8"/>
        <v>22513.294701028757</v>
      </c>
      <c r="M29" s="42">
        <f t="shared" si="17"/>
        <v>31479.638145336663</v>
      </c>
      <c r="N29" s="43">
        <f t="shared" si="9"/>
        <v>25183.710516269333</v>
      </c>
      <c r="O29" s="35">
        <f t="shared" si="10"/>
        <v>3338.0197690507193</v>
      </c>
      <c r="P29" s="35">
        <f t="shared" si="11"/>
        <v>2670.4158152405762</v>
      </c>
      <c r="Q29" s="48">
        <f t="shared" si="18"/>
        <v>0.10603742500595446</v>
      </c>
      <c r="R29" s="2"/>
      <c r="S29" s="35">
        <f t="shared" si="19"/>
        <v>25268.828167040087</v>
      </c>
      <c r="T29" s="35">
        <f>SUM($S$29*3)</f>
        <v>75806.484501120256</v>
      </c>
      <c r="U29" s="42">
        <f t="shared" si="20"/>
        <v>28266.095040078966</v>
      </c>
      <c r="V29" s="43">
        <f>SUM($U$29*3)</f>
        <v>84798.285120236891</v>
      </c>
      <c r="W29" s="35">
        <f t="shared" si="12"/>
        <v>2997.2668730388796</v>
      </c>
      <c r="X29" s="35">
        <f t="shared" si="13"/>
        <v>8991.8006191166351</v>
      </c>
      <c r="Y29" s="48">
        <f t="shared" si="21"/>
        <v>0.10603752901803394</v>
      </c>
    </row>
    <row r="30" spans="1:25" ht="15.75" x14ac:dyDescent="0.25">
      <c r="A30" s="37">
        <v>2036</v>
      </c>
      <c r="B30" s="40">
        <v>13</v>
      </c>
      <c r="C30" s="35">
        <f t="shared" si="14"/>
        <v>22619.998337372177</v>
      </c>
      <c r="D30" s="35">
        <f t="shared" si="3"/>
        <v>49763.996342218794</v>
      </c>
      <c r="E30" s="42">
        <f t="shared" si="15"/>
        <v>25480.938316480584</v>
      </c>
      <c r="F30" s="43">
        <f t="shared" si="4"/>
        <v>56058.064296257289</v>
      </c>
      <c r="G30" s="35">
        <f t="shared" si="5"/>
        <v>2860.939979108407</v>
      </c>
      <c r="H30" s="35">
        <f t="shared" si="6"/>
        <v>6294.0679540384954</v>
      </c>
      <c r="I30" s="48">
        <f t="shared" si="7"/>
        <v>0.11227765412618285</v>
      </c>
      <c r="J30" s="2"/>
      <c r="K30" s="35">
        <f t="shared" si="16"/>
        <v>28423.034560048804</v>
      </c>
      <c r="L30" s="35">
        <f t="shared" si="8"/>
        <v>22738.427648039044</v>
      </c>
      <c r="M30" s="42">
        <f t="shared" si="17"/>
        <v>32017.939957621915</v>
      </c>
      <c r="N30" s="43">
        <f t="shared" si="9"/>
        <v>25614.351966097533</v>
      </c>
      <c r="O30" s="35">
        <f t="shared" si="10"/>
        <v>3594.9053975731113</v>
      </c>
      <c r="P30" s="35">
        <f t="shared" si="11"/>
        <v>2875.924318058489</v>
      </c>
      <c r="Q30" s="48">
        <f t="shared" si="18"/>
        <v>0.11227784805428555</v>
      </c>
      <c r="R30" s="2"/>
      <c r="S30" s="35">
        <f t="shared" si="19"/>
        <v>25521.516448710488</v>
      </c>
      <c r="T30" s="35">
        <f>SUM($S$30*3)</f>
        <v>76564.549346131462</v>
      </c>
      <c r="U30" s="42">
        <f t="shared" si="20"/>
        <v>28749.445265264312</v>
      </c>
      <c r="V30" s="43">
        <f>SUM($U$30*3)</f>
        <v>86248.33579579294</v>
      </c>
      <c r="W30" s="35">
        <f t="shared" si="12"/>
        <v>3227.9288165538237</v>
      </c>
      <c r="X30" s="35">
        <f t="shared" si="13"/>
        <v>9683.7864496614784</v>
      </c>
      <c r="Y30" s="48">
        <f t="shared" si="21"/>
        <v>0.11227795134029518</v>
      </c>
    </row>
    <row r="31" spans="1:25" ht="15.75" x14ac:dyDescent="0.25">
      <c r="A31" s="37">
        <v>2037</v>
      </c>
      <c r="B31" s="40">
        <v>14</v>
      </c>
      <c r="C31" s="35">
        <f t="shared" si="14"/>
        <v>22846.198320745898</v>
      </c>
      <c r="D31" s="35">
        <f t="shared" si="3"/>
        <v>50261.636305640983</v>
      </c>
      <c r="E31" s="42">
        <f t="shared" si="15"/>
        <v>25916.662361692401</v>
      </c>
      <c r="F31" s="43">
        <f t="shared" si="4"/>
        <v>57016.657195723288</v>
      </c>
      <c r="G31" s="35">
        <f t="shared" si="5"/>
        <v>3070.4640409465028</v>
      </c>
      <c r="H31" s="35">
        <f t="shared" si="6"/>
        <v>6755.0208900823054</v>
      </c>
      <c r="I31" s="48">
        <f t="shared" si="7"/>
        <v>0.1184745164363825</v>
      </c>
      <c r="J31" s="2"/>
      <c r="K31" s="35">
        <f t="shared" si="16"/>
        <v>28707.264905649292</v>
      </c>
      <c r="L31" s="35">
        <f t="shared" si="8"/>
        <v>22965.811924519436</v>
      </c>
      <c r="M31" s="42">
        <f t="shared" si="17"/>
        <v>32565.446730897245</v>
      </c>
      <c r="N31" s="43">
        <f t="shared" si="9"/>
        <v>26052.357384717798</v>
      </c>
      <c r="O31" s="35">
        <f t="shared" si="10"/>
        <v>3858.1818252479534</v>
      </c>
      <c r="P31" s="35">
        <f t="shared" si="11"/>
        <v>3086.545460198362</v>
      </c>
      <c r="Q31" s="48">
        <f t="shared" si="18"/>
        <v>0.11847470901074451</v>
      </c>
      <c r="R31" s="2"/>
      <c r="S31" s="35">
        <f t="shared" si="19"/>
        <v>25776.731613197593</v>
      </c>
      <c r="T31" s="35">
        <f>SUM($S$31*3)</f>
        <v>77330.194839592776</v>
      </c>
      <c r="U31" s="42">
        <f t="shared" si="20"/>
        <v>29241.060779300329</v>
      </c>
      <c r="V31" s="43">
        <f>SUM($U$31*3)</f>
        <v>87723.182337900987</v>
      </c>
      <c r="W31" s="35">
        <f t="shared" si="12"/>
        <v>3464.3291661027361</v>
      </c>
      <c r="X31" s="35">
        <f t="shared" si="13"/>
        <v>10392.987498308212</v>
      </c>
      <c r="Y31" s="48">
        <f t="shared" si="21"/>
        <v>0.11847481157575264</v>
      </c>
    </row>
    <row r="32" spans="1:25" ht="15.75" x14ac:dyDescent="0.25">
      <c r="A32" s="37">
        <v>2038</v>
      </c>
      <c r="B32" s="40">
        <v>15</v>
      </c>
      <c r="C32" s="35">
        <f t="shared" si="14"/>
        <v>23074.660303953358</v>
      </c>
      <c r="D32" s="35">
        <f t="shared" si="3"/>
        <v>50764.252668697394</v>
      </c>
      <c r="E32" s="42">
        <f t="shared" si="15"/>
        <v>26359.837288077339</v>
      </c>
      <c r="F32" s="43">
        <f t="shared" si="4"/>
        <v>57991.642033770149</v>
      </c>
      <c r="G32" s="35">
        <f t="shared" si="5"/>
        <v>3285.1769841239802</v>
      </c>
      <c r="H32" s="35">
        <f t="shared" si="6"/>
        <v>7227.389365072755</v>
      </c>
      <c r="I32" s="48">
        <f t="shared" si="7"/>
        <v>0.12462812073615789</v>
      </c>
      <c r="J32" s="2"/>
      <c r="K32" s="35">
        <f t="shared" si="16"/>
        <v>28994.337554705784</v>
      </c>
      <c r="L32" s="35">
        <f t="shared" si="8"/>
        <v>23195.470043764628</v>
      </c>
      <c r="M32" s="42">
        <f t="shared" si="17"/>
        <v>33122.315869995582</v>
      </c>
      <c r="N32" s="43">
        <f t="shared" si="9"/>
        <v>26497.852695996466</v>
      </c>
      <c r="O32" s="35">
        <f t="shared" si="10"/>
        <v>4127.978315289798</v>
      </c>
      <c r="P32" s="35">
        <f t="shared" si="11"/>
        <v>3302.3826522318377</v>
      </c>
      <c r="Q32" s="48">
        <f t="shared" si="18"/>
        <v>0.1246283119662293</v>
      </c>
      <c r="R32" s="2"/>
      <c r="S32" s="35">
        <f t="shared" si="19"/>
        <v>26034.498929329569</v>
      </c>
      <c r="T32" s="35">
        <f>SUM($S$32*3)</f>
        <v>78103.496787988712</v>
      </c>
      <c r="U32" s="42">
        <f t="shared" si="20"/>
        <v>29741.082918626362</v>
      </c>
      <c r="V32" s="43">
        <f>SUM($U$32*3)</f>
        <v>89223.248755879089</v>
      </c>
      <c r="W32" s="35">
        <f t="shared" si="12"/>
        <v>3706.5839892967924</v>
      </c>
      <c r="X32" s="35">
        <f t="shared" si="13"/>
        <v>11119.751967890377</v>
      </c>
      <c r="Y32" s="48">
        <f t="shared" si="21"/>
        <v>0.12462841381526893</v>
      </c>
    </row>
    <row r="33" spans="1:25" ht="15.75" x14ac:dyDescent="0.25">
      <c r="A33" s="37">
        <v>2039</v>
      </c>
      <c r="B33" s="40">
        <v>16</v>
      </c>
      <c r="C33" s="35">
        <f t="shared" si="14"/>
        <v>23305.406906992892</v>
      </c>
      <c r="D33" s="35">
        <f t="shared" si="3"/>
        <v>51271.895195384364</v>
      </c>
      <c r="E33" s="42">
        <f t="shared" si="15"/>
        <v>26810.590505703458</v>
      </c>
      <c r="F33" s="43">
        <f t="shared" si="4"/>
        <v>58983.299112547611</v>
      </c>
      <c r="G33" s="35">
        <f t="shared" si="5"/>
        <v>3505.183598710566</v>
      </c>
      <c r="H33" s="35">
        <f t="shared" si="6"/>
        <v>7711.4039171632467</v>
      </c>
      <c r="I33" s="48">
        <f t="shared" si="7"/>
        <v>0.13073876899372669</v>
      </c>
      <c r="J33" s="2"/>
      <c r="K33" s="35">
        <f t="shared" si="16"/>
        <v>29284.28093025284</v>
      </c>
      <c r="L33" s="35">
        <f t="shared" si="8"/>
        <v>23427.424744202275</v>
      </c>
      <c r="M33" s="42">
        <f t="shared" si="17"/>
        <v>33688.707471372501</v>
      </c>
      <c r="N33" s="43">
        <f t="shared" si="9"/>
        <v>26950.965977098003</v>
      </c>
      <c r="O33" s="35">
        <f t="shared" si="10"/>
        <v>4404.4265411196611</v>
      </c>
      <c r="P33" s="35">
        <f t="shared" si="11"/>
        <v>3523.5412328957282</v>
      </c>
      <c r="Q33" s="48">
        <f t="shared" si="18"/>
        <v>0.13073895888889145</v>
      </c>
      <c r="R33" s="2"/>
      <c r="S33" s="35">
        <f t="shared" si="19"/>
        <v>26294.843918622864</v>
      </c>
      <c r="T33" s="35">
        <f>SUM($S$33*3)</f>
        <v>78884.531755868593</v>
      </c>
      <c r="U33" s="42">
        <f t="shared" si="20"/>
        <v>30249.655436534871</v>
      </c>
      <c r="V33" s="43">
        <f>SUM($U$33*3)</f>
        <v>90748.966309604613</v>
      </c>
      <c r="W33" s="35">
        <f t="shared" si="12"/>
        <v>3954.8115179120068</v>
      </c>
      <c r="X33" s="35">
        <f t="shared" si="13"/>
        <v>11864.43455373602</v>
      </c>
      <c r="Y33" s="48">
        <f t="shared" si="21"/>
        <v>0.13073906002696056</v>
      </c>
    </row>
    <row r="34" spans="1:25" ht="15.75" x14ac:dyDescent="0.25">
      <c r="A34" s="37">
        <v>2040</v>
      </c>
      <c r="B34" s="40">
        <v>17</v>
      </c>
      <c r="C34" s="35">
        <f t="shared" si="14"/>
        <v>23538.460976062823</v>
      </c>
      <c r="D34" s="35">
        <f t="shared" si="3"/>
        <v>51784.614147338216</v>
      </c>
      <c r="E34" s="42">
        <f t="shared" si="15"/>
        <v>27269.051603350985</v>
      </c>
      <c r="F34" s="43">
        <f t="shared" si="4"/>
        <v>59991.913527372169</v>
      </c>
      <c r="G34" s="35">
        <f t="shared" si="5"/>
        <v>3730.5906272881621</v>
      </c>
      <c r="H34" s="35">
        <f t="shared" si="6"/>
        <v>8207.2993800339536</v>
      </c>
      <c r="I34" s="48">
        <f t="shared" si="7"/>
        <v>0.13680676106937739</v>
      </c>
      <c r="J34" s="2"/>
      <c r="K34" s="35">
        <f t="shared" si="16"/>
        <v>29577.123739555369</v>
      </c>
      <c r="L34" s="35">
        <f t="shared" si="8"/>
        <v>23661.698991644298</v>
      </c>
      <c r="M34" s="42">
        <f t="shared" si="17"/>
        <v>34264.784369132969</v>
      </c>
      <c r="N34" s="43">
        <f t="shared" si="9"/>
        <v>27411.827495306377</v>
      </c>
      <c r="O34" s="35">
        <f t="shared" si="10"/>
        <v>4687.6606295776</v>
      </c>
      <c r="P34" s="35">
        <f t="shared" si="11"/>
        <v>3750.1285036620793</v>
      </c>
      <c r="Q34" s="48">
        <f t="shared" si="18"/>
        <v>0.13680694963895418</v>
      </c>
      <c r="R34" s="2"/>
      <c r="S34" s="35">
        <f t="shared" si="19"/>
        <v>26557.792357809092</v>
      </c>
      <c r="T34" s="35">
        <f>SUM($S$34*3)</f>
        <v>79673.377073427284</v>
      </c>
      <c r="U34" s="42">
        <f t="shared" si="20"/>
        <v>30766.924544499616</v>
      </c>
      <c r="V34" s="43">
        <f>SUM($U$34*3)</f>
        <v>92300.773633498844</v>
      </c>
      <c r="W34" s="35">
        <f t="shared" si="12"/>
        <v>4209.1321866905237</v>
      </c>
      <c r="X34" s="35">
        <f t="shared" si="13"/>
        <v>12627.39656007156</v>
      </c>
      <c r="Y34" s="48">
        <f t="shared" si="21"/>
        <v>0.13680705007101568</v>
      </c>
    </row>
    <row r="35" spans="1:25" ht="15.75" x14ac:dyDescent="0.25">
      <c r="A35" s="37">
        <v>2041</v>
      </c>
      <c r="B35" s="40">
        <v>18</v>
      </c>
      <c r="C35" s="35">
        <f t="shared" si="14"/>
        <v>23773.845585823452</v>
      </c>
      <c r="D35" s="35">
        <f t="shared" si="3"/>
        <v>52302.460288811599</v>
      </c>
      <c r="E35" s="42">
        <f t="shared" si="15"/>
        <v>27735.352385768285</v>
      </c>
      <c r="F35" s="43">
        <f t="shared" si="4"/>
        <v>61017.775248690232</v>
      </c>
      <c r="G35" s="35">
        <f t="shared" si="5"/>
        <v>3961.5067999448329</v>
      </c>
      <c r="H35" s="35">
        <f t="shared" si="6"/>
        <v>8715.3149598786331</v>
      </c>
      <c r="I35" s="48">
        <f t="shared" si="7"/>
        <v>0.14283239473018497</v>
      </c>
      <c r="J35" s="2"/>
      <c r="K35" s="35">
        <f t="shared" si="16"/>
        <v>29872.894976950924</v>
      </c>
      <c r="L35" s="35">
        <f t="shared" si="8"/>
        <v>23898.31598156074</v>
      </c>
      <c r="M35" s="42">
        <f t="shared" si="17"/>
        <v>34850.712181845141</v>
      </c>
      <c r="N35" s="43">
        <f t="shared" si="9"/>
        <v>27880.569745476114</v>
      </c>
      <c r="O35" s="35">
        <f t="shared" si="10"/>
        <v>4977.8172048942179</v>
      </c>
      <c r="P35" s="35">
        <f t="shared" si="11"/>
        <v>3982.2537639153743</v>
      </c>
      <c r="Q35" s="48">
        <f t="shared" si="18"/>
        <v>0.1428325819834271</v>
      </c>
      <c r="R35" s="2"/>
      <c r="S35" s="35">
        <f t="shared" si="19"/>
        <v>26823.370281387182</v>
      </c>
      <c r="T35" s="35">
        <f>SUM($S$35*3)</f>
        <v>80470.110844161551</v>
      </c>
      <c r="U35" s="42">
        <f t="shared" si="20"/>
        <v>31293.038954210555</v>
      </c>
      <c r="V35" s="43">
        <f>SUM($U$35*3)</f>
        <v>93879.116862631665</v>
      </c>
      <c r="W35" s="35">
        <f t="shared" si="12"/>
        <v>4469.6686728233726</v>
      </c>
      <c r="X35" s="35">
        <f t="shared" si="13"/>
        <v>13409.006018470114</v>
      </c>
      <c r="Y35" s="48">
        <f t="shared" si="21"/>
        <v>0.14283268171440941</v>
      </c>
    </row>
    <row r="36" spans="1:25" ht="15.75" x14ac:dyDescent="0.25">
      <c r="A36" s="37">
        <v>2042</v>
      </c>
      <c r="B36" s="40">
        <v>19</v>
      </c>
      <c r="C36" s="35">
        <f t="shared" si="14"/>
        <v>24011.584041681686</v>
      </c>
      <c r="D36" s="35">
        <f t="shared" si="3"/>
        <v>52825.484891699714</v>
      </c>
      <c r="E36" s="42">
        <f t="shared" si="15"/>
        <v>28209.626911564919</v>
      </c>
      <c r="F36" s="43">
        <f t="shared" si="4"/>
        <v>62061.17920544283</v>
      </c>
      <c r="G36" s="35">
        <f t="shared" si="5"/>
        <v>4198.0428698832329</v>
      </c>
      <c r="H36" s="35">
        <f t="shared" si="6"/>
        <v>9235.6943137431153</v>
      </c>
      <c r="I36" s="48">
        <f t="shared" si="7"/>
        <v>0.14881596566462171</v>
      </c>
      <c r="J36" s="2"/>
      <c r="K36" s="35">
        <f t="shared" si="16"/>
        <v>30171.623926720433</v>
      </c>
      <c r="L36" s="35">
        <f t="shared" si="8"/>
        <v>24137.299141376348</v>
      </c>
      <c r="M36" s="42">
        <f t="shared" si="17"/>
        <v>35446.659360154692</v>
      </c>
      <c r="N36" s="43">
        <f t="shared" si="9"/>
        <v>28357.327488123756</v>
      </c>
      <c r="O36" s="35">
        <f t="shared" si="10"/>
        <v>5275.0354334342592</v>
      </c>
      <c r="P36" s="35">
        <f t="shared" si="11"/>
        <v>4220.0283467474073</v>
      </c>
      <c r="Q36" s="48">
        <f t="shared" si="18"/>
        <v>0.14881615161071804</v>
      </c>
      <c r="R36" s="2"/>
      <c r="S36" s="35">
        <f t="shared" si="19"/>
        <v>27091.603984201054</v>
      </c>
      <c r="T36" s="35">
        <f>SUM($S$36*3)</f>
        <v>81274.811952603166</v>
      </c>
      <c r="U36" s="42">
        <f t="shared" si="20"/>
        <v>31828.149920327553</v>
      </c>
      <c r="V36" s="43">
        <f>SUM($U$36*3)</f>
        <v>95484.44976098265</v>
      </c>
      <c r="W36" s="35">
        <f t="shared" si="12"/>
        <v>4736.5459361264984</v>
      </c>
      <c r="X36" s="35">
        <f t="shared" si="13"/>
        <v>14209.637808379484</v>
      </c>
      <c r="Y36" s="48">
        <f t="shared" si="21"/>
        <v>0.14881625064551507</v>
      </c>
    </row>
    <row r="37" spans="1:25" ht="15.75" x14ac:dyDescent="0.25">
      <c r="A37" s="37">
        <v>2043</v>
      </c>
      <c r="B37" s="40">
        <v>20</v>
      </c>
      <c r="C37" s="35">
        <f t="shared" si="14"/>
        <v>24251.699882098503</v>
      </c>
      <c r="D37" s="35">
        <f t="shared" si="3"/>
        <v>53353.739740616707</v>
      </c>
      <c r="E37" s="42">
        <f t="shared" si="15"/>
        <v>28692.011531752676</v>
      </c>
      <c r="F37" s="43">
        <f t="shared" si="4"/>
        <v>63122.42536985589</v>
      </c>
      <c r="G37" s="35">
        <f t="shared" si="5"/>
        <v>4440.3116496541734</v>
      </c>
      <c r="H37" s="35">
        <f t="shared" si="6"/>
        <v>9768.6856292391822</v>
      </c>
      <c r="I37" s="48">
        <f t="shared" si="7"/>
        <v>0.15475776749706796</v>
      </c>
      <c r="J37" s="2"/>
      <c r="K37" s="35">
        <f t="shared" si="16"/>
        <v>30473.340165987636</v>
      </c>
      <c r="L37" s="35">
        <f t="shared" si="8"/>
        <v>24378.67213279011</v>
      </c>
      <c r="M37" s="42">
        <f t="shared" si="17"/>
        <v>36052.797235213337</v>
      </c>
      <c r="N37" s="43">
        <f t="shared" si="9"/>
        <v>28842.237788170671</v>
      </c>
      <c r="O37" s="35">
        <f t="shared" si="10"/>
        <v>5579.4570692257003</v>
      </c>
      <c r="P37" s="35">
        <f t="shared" si="11"/>
        <v>4463.5656553805602</v>
      </c>
      <c r="Q37" s="48">
        <f t="shared" si="18"/>
        <v>0.15475795214514329</v>
      </c>
      <c r="R37" s="2"/>
      <c r="S37" s="35">
        <f t="shared" si="19"/>
        <v>27362.520024043064</v>
      </c>
      <c r="T37" s="35">
        <f>SUM($S$37*3)</f>
        <v>82087.560072129185</v>
      </c>
      <c r="U37" s="42">
        <f t="shared" si="20"/>
        <v>32372.41128396515</v>
      </c>
      <c r="V37" s="43">
        <f>SUM($U$37*3)</f>
        <v>97117.233851895449</v>
      </c>
      <c r="W37" s="35">
        <f t="shared" si="12"/>
        <v>5009.8912599220857</v>
      </c>
      <c r="X37" s="35">
        <f t="shared" si="13"/>
        <v>15029.673779766264</v>
      </c>
      <c r="Y37" s="48">
        <f t="shared" si="21"/>
        <v>0.15475805048861499</v>
      </c>
    </row>
    <row r="38" spans="1:25" ht="15.75" x14ac:dyDescent="0.25">
      <c r="A38" s="37"/>
      <c r="B38" s="34"/>
      <c r="C38" s="35"/>
      <c r="D38" s="35"/>
      <c r="E38" s="35"/>
      <c r="F38" s="35"/>
      <c r="G38" s="35"/>
      <c r="H38" s="3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5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5" ht="15.75" x14ac:dyDescent="0.25">
      <c r="A40" s="2" t="s">
        <v>35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5" ht="15.75" x14ac:dyDescent="0.25">
      <c r="A41" s="2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5" ht="15.75" x14ac:dyDescent="0.25">
      <c r="A42" s="2" t="s">
        <v>44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5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5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5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5" ht="16.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5" ht="47.25" x14ac:dyDescent="0.25">
      <c r="A47" s="51"/>
      <c r="B47" s="52"/>
      <c r="C47" s="75" t="s">
        <v>32</v>
      </c>
      <c r="D47" s="74" t="s">
        <v>36</v>
      </c>
      <c r="E47" s="81" t="s">
        <v>85</v>
      </c>
      <c r="F47" s="82"/>
      <c r="G47" s="8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5" ht="18.75" thickBot="1" x14ac:dyDescent="0.3">
      <c r="A48" s="44" t="s">
        <v>24</v>
      </c>
      <c r="B48" s="47" t="s">
        <v>23</v>
      </c>
      <c r="C48" s="73" t="s">
        <v>39</v>
      </c>
      <c r="D48" s="47" t="s">
        <v>33</v>
      </c>
      <c r="E48" s="46" t="s">
        <v>33</v>
      </c>
      <c r="F48" s="44" t="s">
        <v>86</v>
      </c>
      <c r="G48" s="44" t="s">
        <v>87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x14ac:dyDescent="0.25">
      <c r="A49" s="37">
        <v>2019</v>
      </c>
      <c r="B49" s="40" t="s">
        <v>40</v>
      </c>
      <c r="C49" s="2">
        <f>SUM($S$17*3)</f>
        <v>64650</v>
      </c>
      <c r="D49" s="5">
        <f>SUM($U$17*3)</f>
        <v>64650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x14ac:dyDescent="0.25">
      <c r="A50" s="37">
        <v>2024</v>
      </c>
      <c r="B50" s="40">
        <v>1</v>
      </c>
      <c r="C50" s="35">
        <f>SUM($S$18*3)</f>
        <v>67947.149999999994</v>
      </c>
      <c r="D50" s="43">
        <f>SUM($U$18*3)</f>
        <v>70369.89</v>
      </c>
      <c r="E50" s="35">
        <f>SUM(D50-C50)</f>
        <v>2422.7400000000052</v>
      </c>
      <c r="F50" s="35">
        <f>SUM(365*E50)</f>
        <v>884300.10000000196</v>
      </c>
      <c r="G50" s="3">
        <f>SUM(0.43*F50)</f>
        <v>380249.04300000082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x14ac:dyDescent="0.25">
      <c r="A51" s="37">
        <v>2025</v>
      </c>
      <c r="B51" s="40">
        <v>2</v>
      </c>
      <c r="C51" s="35">
        <f>SUM($S$19*3)</f>
        <v>68626.621499999994</v>
      </c>
      <c r="D51" s="43">
        <f>SUM($U$19*3)</f>
        <v>71573.215119</v>
      </c>
      <c r="E51" s="35">
        <f t="shared" ref="E51:E69" si="22">SUM(D51-C51)</f>
        <v>2946.5936190000066</v>
      </c>
      <c r="F51" s="35">
        <f t="shared" ref="F51:F69" si="23">SUM(365*E51)</f>
        <v>1075506.6709350024</v>
      </c>
      <c r="G51" s="3">
        <f t="shared" ref="G51:G69" si="24">SUM(0.43*F51)</f>
        <v>462467.86850205105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x14ac:dyDescent="0.25">
      <c r="A52" s="37">
        <v>2026</v>
      </c>
      <c r="B52" s="40">
        <v>3</v>
      </c>
      <c r="C52" s="35">
        <f>SUM($S$20*3)</f>
        <v>69312.88771499999</v>
      </c>
      <c r="D52" s="43">
        <f>SUM($U$20*3)</f>
        <v>72797.117097534894</v>
      </c>
      <c r="E52" s="35">
        <f t="shared" si="22"/>
        <v>3484.2293825349043</v>
      </c>
      <c r="F52" s="35">
        <f t="shared" si="23"/>
        <v>1271743.7246252401</v>
      </c>
      <c r="G52" s="3">
        <f t="shared" si="24"/>
        <v>546849.80158885324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x14ac:dyDescent="0.25">
      <c r="A53" s="37">
        <v>2027</v>
      </c>
      <c r="B53" s="40">
        <v>4</v>
      </c>
      <c r="C53" s="35">
        <f>SUM($S$21*3)</f>
        <v>70006.016592150001</v>
      </c>
      <c r="D53" s="43">
        <f>SUM($U$21*3)</f>
        <v>74041.947799902729</v>
      </c>
      <c r="E53" s="35">
        <f t="shared" si="22"/>
        <v>4035.9312077527284</v>
      </c>
      <c r="F53" s="35">
        <f t="shared" si="23"/>
        <v>1473114.8908297459</v>
      </c>
      <c r="G53" s="3">
        <f t="shared" si="24"/>
        <v>633439.4030567907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x14ac:dyDescent="0.25">
      <c r="A54" s="37">
        <v>2028</v>
      </c>
      <c r="B54" s="40">
        <v>5</v>
      </c>
      <c r="C54" s="35">
        <f>SUM($S$22*3)</f>
        <v>70706.076758071489</v>
      </c>
      <c r="D54" s="43">
        <f>SUM($U$22*3)</f>
        <v>75308.065107281058</v>
      </c>
      <c r="E54" s="35">
        <f t="shared" si="22"/>
        <v>4601.9883492095687</v>
      </c>
      <c r="F54" s="35">
        <f t="shared" si="23"/>
        <v>1679725.7474614927</v>
      </c>
      <c r="G54" s="3">
        <f t="shared" si="24"/>
        <v>722282.07140844187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x14ac:dyDescent="0.25">
      <c r="A55" s="37">
        <v>2029</v>
      </c>
      <c r="B55" s="40">
        <v>6</v>
      </c>
      <c r="C55" s="35">
        <f>SUM($S$23*3)</f>
        <v>71413.137525652201</v>
      </c>
      <c r="D55" s="43">
        <f>SUM($U$23*3)</f>
        <v>76595.833020615566</v>
      </c>
      <c r="E55" s="35">
        <f t="shared" si="22"/>
        <v>5182.6954949633655</v>
      </c>
      <c r="F55" s="35">
        <f t="shared" si="23"/>
        <v>1891683.8556616283</v>
      </c>
      <c r="G55" s="3">
        <f t="shared" si="24"/>
        <v>813424.05793450016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x14ac:dyDescent="0.25">
      <c r="A56" s="37">
        <v>2030</v>
      </c>
      <c r="B56" s="40">
        <v>7</v>
      </c>
      <c r="C56" s="35">
        <f>SUM($S$24*3)</f>
        <v>72127.268900908719</v>
      </c>
      <c r="D56" s="43">
        <f>SUM($U$24*3)</f>
        <v>77905.621765268079</v>
      </c>
      <c r="E56" s="35">
        <f t="shared" si="22"/>
        <v>5778.35286435936</v>
      </c>
      <c r="F56" s="35">
        <f t="shared" si="23"/>
        <v>2109098.7954911664</v>
      </c>
      <c r="G56" s="3">
        <f t="shared" si="24"/>
        <v>906912.48206120159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x14ac:dyDescent="0.25">
      <c r="A57" s="37">
        <v>2031</v>
      </c>
      <c r="B57" s="40">
        <v>8</v>
      </c>
      <c r="C57" s="35">
        <f>SUM($S$25*3)</f>
        <v>72848.541589917819</v>
      </c>
      <c r="D57" s="43">
        <f>SUM($U$25*3)</f>
        <v>79237.807897454157</v>
      </c>
      <c r="E57" s="35">
        <f t="shared" si="22"/>
        <v>6389.266307536338</v>
      </c>
      <c r="F57" s="35">
        <f t="shared" si="23"/>
        <v>2332082.2022507633</v>
      </c>
      <c r="G57" s="3">
        <f t="shared" si="24"/>
        <v>1002795.3469678282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x14ac:dyDescent="0.25">
      <c r="A58" s="37">
        <v>2032</v>
      </c>
      <c r="B58" s="40">
        <v>9</v>
      </c>
      <c r="C58" s="35">
        <f>SUM($S$26*3)</f>
        <v>73577.027005816999</v>
      </c>
      <c r="D58" s="43">
        <f>SUM($U$26*3)</f>
        <v>80592.774412500614</v>
      </c>
      <c r="E58" s="35">
        <f t="shared" si="22"/>
        <v>7015.7474066836148</v>
      </c>
      <c r="F58" s="35">
        <f t="shared" si="23"/>
        <v>2560747.8034395194</v>
      </c>
      <c r="G58" s="3">
        <f t="shared" si="24"/>
        <v>1101121.5554789933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x14ac:dyDescent="0.25">
      <c r="A59" s="37">
        <v>2033</v>
      </c>
      <c r="B59" s="40">
        <v>10</v>
      </c>
      <c r="C59" s="35">
        <f>SUM($S$27*3)</f>
        <v>74312.797275875171</v>
      </c>
      <c r="D59" s="43">
        <f>SUM($U$27*3)</f>
        <v>81970.910854954374</v>
      </c>
      <c r="E59" s="35">
        <f t="shared" si="22"/>
        <v>7658.1135790792032</v>
      </c>
      <c r="F59" s="35">
        <f t="shared" si="23"/>
        <v>2795211.4563639089</v>
      </c>
      <c r="G59" s="3">
        <f t="shared" si="24"/>
        <v>1201940.9262364809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x14ac:dyDescent="0.25">
      <c r="A60" s="37">
        <v>2034</v>
      </c>
      <c r="B60" s="40">
        <v>11</v>
      </c>
      <c r="C60" s="35">
        <f>SUM($S$28*3)</f>
        <v>75055.925248633925</v>
      </c>
      <c r="D60" s="43">
        <f>SUM($U$28*3)</f>
        <v>83372.613430574085</v>
      </c>
      <c r="E60" s="35">
        <f t="shared" si="22"/>
        <v>8316.6881819401606</v>
      </c>
      <c r="F60" s="35">
        <f t="shared" si="23"/>
        <v>3035591.1864081584</v>
      </c>
      <c r="G60" s="3">
        <f t="shared" si="24"/>
        <v>1305304.210155508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x14ac:dyDescent="0.25">
      <c r="A61" s="37">
        <v>2035</v>
      </c>
      <c r="B61" s="40">
        <v>12</v>
      </c>
      <c r="C61" s="35">
        <f>SUM($S$29*3)</f>
        <v>75806.484501120256</v>
      </c>
      <c r="D61" s="43">
        <f>SUM($U$29*3)</f>
        <v>84798.285120236891</v>
      </c>
      <c r="E61" s="35">
        <f t="shared" si="22"/>
        <v>8991.8006191166351</v>
      </c>
      <c r="F61" s="35">
        <f t="shared" si="23"/>
        <v>3282007.2259775717</v>
      </c>
      <c r="G61" s="3">
        <f t="shared" si="24"/>
        <v>1411263.1071703557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x14ac:dyDescent="0.25">
      <c r="A62" s="37">
        <v>2036</v>
      </c>
      <c r="B62" s="40">
        <v>13</v>
      </c>
      <c r="C62" s="35">
        <f>SUM($S$30*3)</f>
        <v>76564.549346131462</v>
      </c>
      <c r="D62" s="43">
        <f>SUM($U$30*3)</f>
        <v>86248.33579579294</v>
      </c>
      <c r="E62" s="35">
        <f t="shared" si="22"/>
        <v>9683.7864496614784</v>
      </c>
      <c r="F62" s="35">
        <f t="shared" si="23"/>
        <v>3534582.0541264396</v>
      </c>
      <c r="G62" s="3">
        <f t="shared" si="24"/>
        <v>1519870.2832743691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x14ac:dyDescent="0.25">
      <c r="A63" s="37">
        <v>2037</v>
      </c>
      <c r="B63" s="40">
        <v>14</v>
      </c>
      <c r="C63" s="35">
        <f>SUM($S$31*3)</f>
        <v>77330.194839592776</v>
      </c>
      <c r="D63" s="43">
        <f>SUM($U$31*3)</f>
        <v>87723.182337900987</v>
      </c>
      <c r="E63" s="35">
        <f t="shared" si="22"/>
        <v>10392.987498308212</v>
      </c>
      <c r="F63" s="35">
        <f t="shared" si="23"/>
        <v>3793440.4368824973</v>
      </c>
      <c r="G63" s="3">
        <f t="shared" si="24"/>
        <v>1631179.3878594737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x14ac:dyDescent="0.25">
      <c r="A64" s="37">
        <v>2038</v>
      </c>
      <c r="B64" s="40">
        <v>15</v>
      </c>
      <c r="C64" s="35">
        <f>SUM($S$32*3)</f>
        <v>78103.496787988712</v>
      </c>
      <c r="D64" s="43">
        <f>SUM($U$32*3)</f>
        <v>89223.248755879089</v>
      </c>
      <c r="E64" s="35">
        <f t="shared" si="22"/>
        <v>11119.751967890377</v>
      </c>
      <c r="F64" s="35">
        <f t="shared" si="23"/>
        <v>4058709.4682799876</v>
      </c>
      <c r="G64" s="3">
        <f t="shared" si="24"/>
        <v>1745245.0713603946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x14ac:dyDescent="0.25">
      <c r="A65" s="37">
        <v>2039</v>
      </c>
      <c r="B65" s="40">
        <v>16</v>
      </c>
      <c r="C65" s="35">
        <f>SUM($S$33*3)</f>
        <v>78884.531755868593</v>
      </c>
      <c r="D65" s="43">
        <f>SUM($U$33*3)</f>
        <v>90748.966309604613</v>
      </c>
      <c r="E65" s="35">
        <f t="shared" si="22"/>
        <v>11864.43455373602</v>
      </c>
      <c r="F65" s="35">
        <f t="shared" si="23"/>
        <v>4330518.6121136472</v>
      </c>
      <c r="G65" s="3">
        <f t="shared" si="24"/>
        <v>1862123.0032088682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x14ac:dyDescent="0.25">
      <c r="A66" s="37">
        <v>2040</v>
      </c>
      <c r="B66" s="40">
        <v>17</v>
      </c>
      <c r="C66" s="35">
        <f>SUM($S$34*3)</f>
        <v>79673.377073427284</v>
      </c>
      <c r="D66" s="43">
        <f>SUM($U$34*3)</f>
        <v>92300.773633498844</v>
      </c>
      <c r="E66" s="35">
        <f t="shared" si="22"/>
        <v>12627.39656007156</v>
      </c>
      <c r="F66" s="35">
        <f t="shared" si="23"/>
        <v>4608999.7444261191</v>
      </c>
      <c r="G66" s="3">
        <f t="shared" si="24"/>
        <v>1981869.8901032312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x14ac:dyDescent="0.25">
      <c r="A67" s="37">
        <v>2041</v>
      </c>
      <c r="B67" s="40">
        <v>18</v>
      </c>
      <c r="C67" s="35">
        <f>SUM($S$35*3)</f>
        <v>80470.110844161551</v>
      </c>
      <c r="D67" s="43">
        <f>SUM($U$35*3)</f>
        <v>93879.116862631665</v>
      </c>
      <c r="E67" s="35">
        <f t="shared" si="22"/>
        <v>13409.006018470114</v>
      </c>
      <c r="F67" s="35">
        <f t="shared" si="23"/>
        <v>4894287.1967415921</v>
      </c>
      <c r="G67" s="3">
        <f t="shared" si="24"/>
        <v>2104543.4945988846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x14ac:dyDescent="0.25">
      <c r="A68" s="37">
        <v>2042</v>
      </c>
      <c r="B68" s="40">
        <v>19</v>
      </c>
      <c r="C68" s="35">
        <f>SUM($S$36*3)</f>
        <v>81274.811952603166</v>
      </c>
      <c r="D68" s="43">
        <f>SUM($U$36*3)</f>
        <v>95484.44976098265</v>
      </c>
      <c r="E68" s="35">
        <f t="shared" si="22"/>
        <v>14209.637808379484</v>
      </c>
      <c r="F68" s="35">
        <f t="shared" si="23"/>
        <v>5186517.800058512</v>
      </c>
      <c r="G68" s="3">
        <f t="shared" si="24"/>
        <v>2230202.6540251602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6.5" thickBot="1" x14ac:dyDescent="0.3">
      <c r="A69" s="37">
        <v>2043</v>
      </c>
      <c r="B69" s="40">
        <v>20</v>
      </c>
      <c r="C69" s="35">
        <f>SUM($S$37*3)</f>
        <v>82087.560072129185</v>
      </c>
      <c r="D69" s="43">
        <f>SUM($U$37*3)</f>
        <v>97117.233851895449</v>
      </c>
      <c r="E69" s="35">
        <f t="shared" si="22"/>
        <v>15029.673779766264</v>
      </c>
      <c r="F69" s="35">
        <f t="shared" si="23"/>
        <v>5485830.9296146864</v>
      </c>
      <c r="G69" s="76">
        <f t="shared" si="24"/>
        <v>2358907.2997343149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6.5" thickTop="1" x14ac:dyDescent="0.25">
      <c r="A70" s="2"/>
      <c r="B70" s="2"/>
      <c r="C70" s="2"/>
      <c r="D70" s="2"/>
      <c r="E70" s="2"/>
      <c r="F70" s="2"/>
      <c r="G70" s="3">
        <f>SUM(G50:G69)</f>
        <v>25921990.957725704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</sheetData>
  <mergeCells count="22">
    <mergeCell ref="G3:I3"/>
    <mergeCell ref="A2:I2"/>
    <mergeCell ref="A1:I1"/>
    <mergeCell ref="G15:I15"/>
    <mergeCell ref="A14:I14"/>
    <mergeCell ref="C3:D3"/>
    <mergeCell ref="E3:F3"/>
    <mergeCell ref="C15:D15"/>
    <mergeCell ref="E15:F15"/>
    <mergeCell ref="E47:G47"/>
    <mergeCell ref="W15:Y15"/>
    <mergeCell ref="A10:I10"/>
    <mergeCell ref="A9:I9"/>
    <mergeCell ref="A11:I11"/>
    <mergeCell ref="A12:I12"/>
    <mergeCell ref="S15:T15"/>
    <mergeCell ref="U15:V15"/>
    <mergeCell ref="K14:Q14"/>
    <mergeCell ref="O15:Q15"/>
    <mergeCell ref="S14:Y14"/>
    <mergeCell ref="K15:L15"/>
    <mergeCell ref="M15:N15"/>
  </mergeCells>
  <pageMargins left="0.7" right="0.7" top="0.75" bottom="0.75" header="0.3" footer="0.3"/>
  <pageSetup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B10F-A864-4175-9A53-A8B94F5CD3F4}">
  <dimension ref="A1:O28"/>
  <sheetViews>
    <sheetView workbookViewId="0">
      <selection activeCell="H17" sqref="H17"/>
    </sheetView>
  </sheetViews>
  <sheetFormatPr defaultRowHeight="15" x14ac:dyDescent="0.25"/>
  <cols>
    <col min="2" max="2" width="27" customWidth="1"/>
    <col min="3" max="3" width="11" customWidth="1"/>
    <col min="12" max="12" width="12.5703125" customWidth="1"/>
  </cols>
  <sheetData>
    <row r="1" spans="1:15" ht="15.75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2"/>
      <c r="N1" s="2"/>
      <c r="O1" s="2"/>
    </row>
    <row r="2" spans="1:15" ht="15.7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B3" s="2"/>
      <c r="C3" s="113" t="s">
        <v>84</v>
      </c>
      <c r="D3" s="114"/>
      <c r="E3" s="114"/>
      <c r="F3" s="114"/>
      <c r="G3" s="115"/>
      <c r="H3" s="115"/>
      <c r="I3" s="2"/>
      <c r="J3" s="2"/>
      <c r="K3" s="2"/>
      <c r="L3" s="2"/>
      <c r="M3" s="2"/>
      <c r="N3" s="2"/>
      <c r="O3" s="2"/>
    </row>
    <row r="4" spans="1:15" ht="16.5" thickBot="1" x14ac:dyDescent="0.3">
      <c r="A4" s="54"/>
      <c r="B4" s="4" t="s">
        <v>52</v>
      </c>
      <c r="C4" s="46" t="s">
        <v>64</v>
      </c>
      <c r="D4" s="47" t="s">
        <v>69</v>
      </c>
      <c r="E4" s="45" t="s">
        <v>65</v>
      </c>
      <c r="F4" s="45" t="s">
        <v>69</v>
      </c>
      <c r="G4" s="46" t="s">
        <v>70</v>
      </c>
      <c r="H4" s="47" t="s">
        <v>69</v>
      </c>
      <c r="I4" s="2" t="s">
        <v>7</v>
      </c>
      <c r="J4" s="2"/>
      <c r="K4" s="2"/>
      <c r="L4" s="2"/>
      <c r="M4" s="2"/>
      <c r="N4" s="2"/>
      <c r="O4" s="2"/>
    </row>
    <row r="5" spans="1:15" ht="15.75" x14ac:dyDescent="0.25">
      <c r="A5" s="109" t="s">
        <v>62</v>
      </c>
      <c r="B5" s="55" t="s">
        <v>53</v>
      </c>
      <c r="C5" s="56" t="s">
        <v>66</v>
      </c>
      <c r="D5" s="57">
        <f>SUM(2*0.95)</f>
        <v>1.9</v>
      </c>
      <c r="E5" s="58"/>
      <c r="F5" s="58"/>
      <c r="G5" s="56" t="s">
        <v>72</v>
      </c>
      <c r="H5" s="57">
        <f>SUM(2*0.95)</f>
        <v>1.9</v>
      </c>
      <c r="I5" s="105" t="s">
        <v>71</v>
      </c>
      <c r="J5" s="106"/>
      <c r="K5" s="106"/>
      <c r="L5" s="106"/>
      <c r="M5" s="2"/>
      <c r="N5" s="2"/>
      <c r="O5" s="2"/>
    </row>
    <row r="6" spans="1:15" ht="30.75" customHeight="1" x14ac:dyDescent="0.25">
      <c r="A6" s="110"/>
      <c r="B6" s="59" t="s">
        <v>54</v>
      </c>
      <c r="C6" s="60" t="s">
        <v>66</v>
      </c>
      <c r="D6" s="61">
        <f>SUM((2*0.45)+0.88)</f>
        <v>1.78</v>
      </c>
      <c r="E6" s="62" t="s">
        <v>67</v>
      </c>
      <c r="F6" s="62">
        <v>0.88</v>
      </c>
      <c r="G6" s="60" t="s">
        <v>72</v>
      </c>
      <c r="H6" s="61">
        <f>SUM((2*0.45)+(2*0.88))</f>
        <v>2.66</v>
      </c>
      <c r="I6" s="96" t="s">
        <v>73</v>
      </c>
      <c r="J6" s="98"/>
      <c r="K6" s="98"/>
      <c r="L6" s="98"/>
      <c r="M6" s="2"/>
      <c r="N6" s="2"/>
      <c r="O6" s="2"/>
    </row>
    <row r="7" spans="1:15" ht="15.75" x14ac:dyDescent="0.25">
      <c r="A7" s="110"/>
      <c r="B7" s="59" t="s">
        <v>55</v>
      </c>
      <c r="C7" s="60" t="s">
        <v>66</v>
      </c>
      <c r="D7" s="61">
        <f>SUM(2*0.57)</f>
        <v>1.1399999999999999</v>
      </c>
      <c r="E7" s="62"/>
      <c r="F7" s="62"/>
      <c r="G7" s="60" t="s">
        <v>72</v>
      </c>
      <c r="H7" s="61">
        <f>SUM(2*0.57)</f>
        <v>1.1399999999999999</v>
      </c>
      <c r="I7" s="96" t="s">
        <v>71</v>
      </c>
      <c r="J7" s="98"/>
      <c r="K7" s="98"/>
      <c r="L7" s="98"/>
      <c r="M7" s="2"/>
      <c r="N7" s="2"/>
      <c r="O7" s="2"/>
    </row>
    <row r="8" spans="1:15" ht="16.5" thickBot="1" x14ac:dyDescent="0.3">
      <c r="A8" s="111"/>
      <c r="B8" s="63" t="s">
        <v>56</v>
      </c>
      <c r="C8" s="64" t="s">
        <v>66</v>
      </c>
      <c r="D8" s="65">
        <f>SUM(2*0.44)</f>
        <v>0.88</v>
      </c>
      <c r="E8" s="66"/>
      <c r="F8" s="66"/>
      <c r="G8" s="64" t="s">
        <v>74</v>
      </c>
      <c r="H8" s="65">
        <f>SUM(2*0.44)</f>
        <v>0.88</v>
      </c>
      <c r="I8" s="107" t="s">
        <v>71</v>
      </c>
      <c r="J8" s="108"/>
      <c r="K8" s="108"/>
      <c r="L8" s="108"/>
      <c r="M8" s="2"/>
      <c r="N8" s="2"/>
      <c r="O8" s="2"/>
    </row>
    <row r="9" spans="1:15" ht="47.25" customHeight="1" x14ac:dyDescent="0.25">
      <c r="A9" s="109" t="s">
        <v>61</v>
      </c>
      <c r="B9" s="55" t="s">
        <v>1</v>
      </c>
      <c r="C9" s="56" t="s">
        <v>66</v>
      </c>
      <c r="D9" s="57">
        <f>SUM((2*0.31)+0.24+0.2+0.35)</f>
        <v>1.4100000000000001</v>
      </c>
      <c r="E9" s="67"/>
      <c r="F9" s="67"/>
      <c r="G9" s="56"/>
      <c r="H9" s="57"/>
      <c r="I9" s="105" t="s">
        <v>75</v>
      </c>
      <c r="J9" s="106"/>
      <c r="K9" s="106"/>
      <c r="L9" s="106"/>
      <c r="M9" s="2"/>
      <c r="N9" s="2"/>
      <c r="O9" s="2"/>
    </row>
    <row r="10" spans="1:15" ht="32.25" customHeight="1" x14ac:dyDescent="0.25">
      <c r="A10" s="110"/>
      <c r="B10" s="59" t="s">
        <v>2</v>
      </c>
      <c r="C10" s="60" t="s">
        <v>66</v>
      </c>
      <c r="D10" s="61">
        <f>SUM(0.6+0.06)</f>
        <v>0.65999999999999992</v>
      </c>
      <c r="E10" s="62" t="s">
        <v>67</v>
      </c>
      <c r="F10" s="62">
        <v>0.6</v>
      </c>
      <c r="G10" s="60"/>
      <c r="H10" s="61"/>
      <c r="I10" s="96" t="s">
        <v>78</v>
      </c>
      <c r="J10" s="98"/>
      <c r="K10" s="98"/>
      <c r="L10" s="98"/>
      <c r="M10" s="2"/>
      <c r="N10" s="2"/>
      <c r="O10" s="2"/>
    </row>
    <row r="11" spans="1:15" ht="15.75" x14ac:dyDescent="0.25">
      <c r="A11" s="110"/>
      <c r="B11" s="59" t="s">
        <v>6</v>
      </c>
      <c r="C11" s="60" t="s">
        <v>66</v>
      </c>
      <c r="D11" s="61">
        <v>0.65</v>
      </c>
      <c r="E11" s="62" t="s">
        <v>67</v>
      </c>
      <c r="F11" s="62">
        <v>0.65</v>
      </c>
      <c r="G11" s="60"/>
      <c r="H11" s="61"/>
      <c r="I11" s="96" t="s">
        <v>76</v>
      </c>
      <c r="J11" s="98"/>
      <c r="K11" s="98"/>
      <c r="L11" s="98"/>
      <c r="M11" s="2"/>
      <c r="N11" s="2"/>
      <c r="O11" s="2"/>
    </row>
    <row r="12" spans="1:15" ht="31.5" customHeight="1" x14ac:dyDescent="0.25">
      <c r="A12" s="110"/>
      <c r="B12" s="59" t="s">
        <v>3</v>
      </c>
      <c r="C12" s="60" t="s">
        <v>66</v>
      </c>
      <c r="D12" s="61">
        <f>SUM(0.3+0.25)</f>
        <v>0.55000000000000004</v>
      </c>
      <c r="E12" s="62" t="s">
        <v>67</v>
      </c>
      <c r="F12" s="62">
        <v>0.3</v>
      </c>
      <c r="G12" s="60"/>
      <c r="H12" s="61"/>
      <c r="I12" s="96" t="s">
        <v>77</v>
      </c>
      <c r="J12" s="97"/>
      <c r="K12" s="97"/>
      <c r="L12" s="97"/>
      <c r="M12" s="2"/>
      <c r="N12" s="2"/>
      <c r="O12" s="2"/>
    </row>
    <row r="13" spans="1:15" ht="16.5" thickBot="1" x14ac:dyDescent="0.3">
      <c r="A13" s="111"/>
      <c r="B13" s="63" t="s">
        <v>57</v>
      </c>
      <c r="C13" s="64" t="s">
        <v>68</v>
      </c>
      <c r="D13" s="65">
        <v>0.25</v>
      </c>
      <c r="E13" s="66"/>
      <c r="F13" s="66"/>
      <c r="G13" s="64"/>
      <c r="H13" s="65"/>
      <c r="I13" s="101" t="s">
        <v>80</v>
      </c>
      <c r="J13" s="102"/>
      <c r="K13" s="102"/>
      <c r="L13" s="102"/>
      <c r="M13" s="2"/>
      <c r="N13" s="2"/>
      <c r="O13" s="2"/>
    </row>
    <row r="14" spans="1:15" ht="15.75" x14ac:dyDescent="0.25">
      <c r="A14" s="109" t="s">
        <v>60</v>
      </c>
      <c r="B14" s="55" t="s">
        <v>58</v>
      </c>
      <c r="C14" s="56" t="s">
        <v>66</v>
      </c>
      <c r="D14" s="57">
        <v>1.3</v>
      </c>
      <c r="E14" s="58"/>
      <c r="F14" s="58"/>
      <c r="G14" s="56"/>
      <c r="H14" s="57"/>
      <c r="I14" s="68" t="s">
        <v>79</v>
      </c>
      <c r="J14" s="55"/>
      <c r="K14" s="55"/>
      <c r="L14" s="55"/>
      <c r="M14" s="2"/>
      <c r="N14" s="2"/>
      <c r="O14" s="2"/>
    </row>
    <row r="15" spans="1:15" ht="15.75" x14ac:dyDescent="0.25">
      <c r="A15" s="110"/>
      <c r="B15" s="59" t="s">
        <v>59</v>
      </c>
      <c r="C15" s="60" t="s">
        <v>68</v>
      </c>
      <c r="D15" s="61">
        <v>2</v>
      </c>
      <c r="E15" s="62"/>
      <c r="F15" s="62"/>
      <c r="G15" s="60"/>
      <c r="H15" s="61"/>
      <c r="I15" s="103" t="s">
        <v>82</v>
      </c>
      <c r="J15" s="104"/>
      <c r="K15" s="104"/>
      <c r="L15" s="104"/>
      <c r="M15" s="2"/>
      <c r="N15" s="2"/>
      <c r="O15" s="2"/>
    </row>
    <row r="16" spans="1:15" ht="32.25" thickBot="1" x14ac:dyDescent="0.3">
      <c r="A16" s="112"/>
      <c r="B16" s="69" t="s">
        <v>63</v>
      </c>
      <c r="C16" s="70" t="s">
        <v>68</v>
      </c>
      <c r="D16" s="71">
        <v>0.85</v>
      </c>
      <c r="E16" s="72"/>
      <c r="F16" s="72"/>
      <c r="G16" s="70"/>
      <c r="H16" s="71"/>
      <c r="I16" s="99" t="s">
        <v>81</v>
      </c>
      <c r="J16" s="100"/>
      <c r="K16" s="100"/>
      <c r="L16" s="100"/>
      <c r="M16" s="2"/>
      <c r="N16" s="2"/>
      <c r="O16" s="2"/>
    </row>
    <row r="17" spans="2:15" ht="16.5" thickTop="1" x14ac:dyDescent="0.25">
      <c r="B17" s="2" t="s">
        <v>83</v>
      </c>
      <c r="C17" s="41"/>
      <c r="D17" s="40">
        <f>SUM(D5:D16)</f>
        <v>13.370000000000001</v>
      </c>
      <c r="E17" s="34"/>
      <c r="F17" s="34">
        <f>SUM(F5:F16)</f>
        <v>2.4299999999999997</v>
      </c>
      <c r="G17" s="39"/>
      <c r="H17" s="40">
        <f>SUM(H5:H16)</f>
        <v>6.58</v>
      </c>
      <c r="I17" s="2"/>
      <c r="J17" s="2"/>
      <c r="K17" s="2"/>
      <c r="L17" s="2"/>
      <c r="M17" s="2"/>
      <c r="N17" s="2"/>
      <c r="O17" s="2"/>
    </row>
    <row r="18" spans="2:15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16">
    <mergeCell ref="A1:L1"/>
    <mergeCell ref="I12:L12"/>
    <mergeCell ref="I10:L10"/>
    <mergeCell ref="I11:L11"/>
    <mergeCell ref="I16:L16"/>
    <mergeCell ref="I13:L13"/>
    <mergeCell ref="I15:L15"/>
    <mergeCell ref="I5:L5"/>
    <mergeCell ref="I6:L6"/>
    <mergeCell ref="I7:L7"/>
    <mergeCell ref="I8:L8"/>
    <mergeCell ref="I9:L9"/>
    <mergeCell ref="A5:A8"/>
    <mergeCell ref="A9:A13"/>
    <mergeCell ref="A14:A16"/>
    <mergeCell ref="C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1AEB-EFE8-438F-91F0-142E24BA6791}">
  <dimension ref="A1:C5"/>
  <sheetViews>
    <sheetView workbookViewId="0">
      <selection activeCell="C5" sqref="C5"/>
    </sheetView>
  </sheetViews>
  <sheetFormatPr defaultRowHeight="15" x14ac:dyDescent="0.25"/>
  <cols>
    <col min="1" max="1" width="14.5703125" customWidth="1"/>
    <col min="2" max="2" width="14.85546875" customWidth="1"/>
    <col min="3" max="3" width="14" customWidth="1"/>
  </cols>
  <sheetData>
    <row r="1" spans="1:3" ht="33" customHeight="1" x14ac:dyDescent="0.25">
      <c r="A1" s="2" t="s">
        <v>28</v>
      </c>
      <c r="B1" s="36" t="s">
        <v>29</v>
      </c>
      <c r="C1" s="2" t="s">
        <v>30</v>
      </c>
    </row>
    <row r="2" spans="1:3" ht="15.75" x14ac:dyDescent="0.25">
      <c r="A2" s="2" t="s">
        <v>25</v>
      </c>
      <c r="B2" s="34">
        <f>SUM(4/8)</f>
        <v>0.5</v>
      </c>
      <c r="C2" s="3">
        <f>SUM(B2*12071000)</f>
        <v>6035500</v>
      </c>
    </row>
    <row r="3" spans="1:3" ht="15.75" x14ac:dyDescent="0.25">
      <c r="A3" s="2" t="s">
        <v>26</v>
      </c>
      <c r="B3" s="34">
        <f>SUM(326/8)</f>
        <v>40.75</v>
      </c>
      <c r="C3" s="3">
        <f>SUM(B3*284100)</f>
        <v>11577075</v>
      </c>
    </row>
    <row r="4" spans="1:3" ht="15.75" x14ac:dyDescent="0.25">
      <c r="A4" s="2" t="s">
        <v>27</v>
      </c>
      <c r="B4" s="34">
        <f>SUM(691/8)</f>
        <v>86.375</v>
      </c>
      <c r="C4" s="3">
        <f>SUM(B4*4500)</f>
        <v>388687.5</v>
      </c>
    </row>
    <row r="5" spans="1:3" ht="15.75" x14ac:dyDescent="0.25">
      <c r="A5" s="2"/>
      <c r="B5" s="2"/>
      <c r="C5" s="3">
        <f>SUM(C2:C4)</f>
        <v>18001262.5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C5E166B7C23D43B9A5A97B1BD56A48" ma:contentTypeVersion="13" ma:contentTypeDescription="Create a new document." ma:contentTypeScope="" ma:versionID="2a9a1e52b76faa8aa12ed6b896a621ef">
  <xsd:schema xmlns:xsd="http://www.w3.org/2001/XMLSchema" xmlns:xs="http://www.w3.org/2001/XMLSchema" xmlns:p="http://schemas.microsoft.com/office/2006/metadata/properties" xmlns:ns2="626ee1bd-dfeb-4120-af3b-c2346b0360db" xmlns:ns3="9f1c80da-0968-4569-92fe-ad9c894d5801" targetNamespace="http://schemas.microsoft.com/office/2006/metadata/properties" ma:root="true" ma:fieldsID="ae2fb71882f402ae206f310558c36f63" ns2:_="" ns3:_="">
    <xsd:import namespace="626ee1bd-dfeb-4120-af3b-c2346b0360db"/>
    <xsd:import namespace="9f1c80da-0968-4569-92fe-ad9c894d5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ee1bd-dfeb-4120-af3b-c2346b036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c80da-0968-4569-92fe-ad9c894d5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1A2F49-030C-40CD-BE80-305C99E6A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4D8AF1-CD7A-4898-913A-401DDF5C90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28E4BC-FC7D-46C8-81F4-CB21348F5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ee1bd-dfeb-4120-af3b-c2346b0360db"/>
    <ds:schemaRef ds:uri="9f1c80da-0968-4569-92fe-ad9c894d5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AADT_VMT</vt:lpstr>
      <vt:lpstr>Bike_Ped Info</vt:lpstr>
      <vt:lpstr>Safety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Bragg</dc:creator>
  <cp:lastModifiedBy>Jennifer Bragg</cp:lastModifiedBy>
  <cp:lastPrinted>2021-07-11T22:50:45Z</cp:lastPrinted>
  <dcterms:created xsi:type="dcterms:W3CDTF">2021-07-09T16:41:32Z</dcterms:created>
  <dcterms:modified xsi:type="dcterms:W3CDTF">2021-07-11T23:00:11Z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0x01010055C5E166B7C23D43B9A5A97B1BD56A48</vt:lpwstr>
  </property>
</Properties>
</file>